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Taules" sheetId="1" r:id="rId1"/>
    <sheet name="Gràfics" sheetId="2" r:id="rId2"/>
    <sheet name="Comparativa" sheetId="3" r:id="rId3"/>
  </sheets>
  <definedNames/>
  <calcPr fullCalcOnLoad="1"/>
</workbook>
</file>

<file path=xl/sharedStrings.xml><?xml version="1.0" encoding="utf-8"?>
<sst xmlns="http://schemas.openxmlformats.org/spreadsheetml/2006/main" count="696" uniqueCount="267">
  <si>
    <t/>
  </si>
  <si>
    <t>Gènere</t>
  </si>
  <si>
    <t>Masculí</t>
  </si>
  <si>
    <t>Total</t>
  </si>
  <si>
    <t>Respostes</t>
  </si>
  <si>
    <t>%</t>
  </si>
  <si>
    <t>Estudis cursats</t>
  </si>
  <si>
    <t>Batxillerat</t>
  </si>
  <si>
    <t>Cicle formatiu de grau superior</t>
  </si>
  <si>
    <t>Altres</t>
  </si>
  <si>
    <t>Centre de procedència</t>
  </si>
  <si>
    <t>Titulació matriculada</t>
  </si>
  <si>
    <t>Titulació</t>
  </si>
  <si>
    <t>Són els estudis que m'agraden més</t>
  </si>
  <si>
    <t>Sí</t>
  </si>
  <si>
    <t>Són estudis amb una bona sortida laboral</t>
  </si>
  <si>
    <t>Me'ls ha recomanat - la família</t>
  </si>
  <si>
    <t>Me'ls ha recomanat - estudiants o antics estudiants de la UPC</t>
  </si>
  <si>
    <t>Me'ls ha recomanat - el professorat</t>
  </si>
  <si>
    <t>Des de sempre els he volgut fer</t>
  </si>
  <si>
    <t>Ho vaig decidir durant l'ESO</t>
  </si>
  <si>
    <t>Ho vaig decidir durant el batxillerat / CFGS</t>
  </si>
  <si>
    <t>Perquè és una universitat pública</t>
  </si>
  <si>
    <t>Me l'ha recomanada - la família</t>
  </si>
  <si>
    <t>Me l'han recomanada - estudiants o antics estudiants de la UPC</t>
  </si>
  <si>
    <t>Me l'ha recomanada - el professorat</t>
  </si>
  <si>
    <t>Per la facilitat d'accés (proximitat, bona comunicació ...)</t>
  </si>
  <si>
    <t>Per la nota d'accés als estudis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</si>
  <si>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</si>
  <si>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</si>
  <si>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</si>
  <si>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</si>
  <si>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</si>
  <si>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</si>
  <si>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Jornada de portes obertes o visites al Campus de Vilanova i la Geltrú</t>
  </si>
  <si>
    <t>Jornada de portes obertes o visites al Campus d'Igualada</t>
  </si>
  <si>
    <t>Saló de l'Ensenyament o altres fires</t>
  </si>
  <si>
    <t>Sessions informatives de professorat de la UPC al meu centre de secundària</t>
  </si>
  <si>
    <t>Web de la UPC</t>
  </si>
  <si>
    <t>Web de les escoles i facultats de la UPC</t>
  </si>
  <si>
    <t>Facebook (Universitat Politècnica de Catalunya - UPC)</t>
  </si>
  <si>
    <t>Twitter(@la_UPC)</t>
  </si>
  <si>
    <t>Cercadors (Google, Yahoo, altres)</t>
  </si>
  <si>
    <t>Portals educatius</t>
  </si>
  <si>
    <t>Guies informatives dels estudis de la UPC</t>
  </si>
  <si>
    <t>Consultes al servei d'informació de la UPC</t>
  </si>
  <si>
    <t>Escola Oficial d'Idiomes: curs de nivell 5 o certificat avançat 2</t>
  </si>
  <si>
    <t>British Council: curs First Certificate</t>
  </si>
  <si>
    <t>Certificat de llengües de les universitats de Catalunya (CLUC)</t>
  </si>
  <si>
    <t>No disposo de cap d'aquests certificats</t>
  </si>
  <si>
    <t>DADES GENERALS</t>
  </si>
  <si>
    <r>
      <rPr>
        <b/>
        <sz val="12"/>
        <color indexed="9"/>
        <rFont val="Verdana"/>
        <family val="2"/>
      </rPr>
      <t>ENQUESTA PER A L'ESTUDIANTAT DE NOU INGRÉS</t>
    </r>
    <r>
      <rPr>
        <b/>
        <sz val="10"/>
        <color indexed="9"/>
        <rFont val="Verdana"/>
        <family val="2"/>
      </rPr>
      <t xml:space="preserve">
CURS 2017-2018</t>
    </r>
  </si>
  <si>
    <r>
      <rPr>
        <b/>
        <sz val="10"/>
        <color indexed="23"/>
        <rFont val="Verdana"/>
        <family val="2"/>
      </rPr>
      <t xml:space="preserve">1. Per què has escollit els estudis en què t’has matriculat?
</t>
    </r>
    <r>
      <rPr>
        <sz val="10"/>
        <color indexed="23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</si>
  <si>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indexed="23"/>
        <rFont val="Verdana"/>
        <family val="2"/>
      </rPr>
      <t>(pots marcar més d'una opció)</t>
    </r>
  </si>
  <si>
    <t>4. Com has obtingut informació de la UPC?</t>
  </si>
  <si>
    <t xml:space="preserve">4.1. Has participat en activitats d'orientació dels estudis de la UPC? </t>
  </si>
  <si>
    <r>
      <t xml:space="preserve">4.2. Quins canals has utilitzat per informar-te? 
</t>
    </r>
    <r>
      <rPr>
        <sz val="10"/>
        <color indexed="23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</si>
  <si>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indexed="23"/>
        <rFont val="Verdana"/>
        <family val="2"/>
      </rPr>
      <t>(opció única)</t>
    </r>
  </si>
  <si>
    <r>
      <t xml:space="preserve">Quan vas decidir que faries aquests estudis?
</t>
    </r>
    <r>
      <rPr>
        <sz val="12"/>
        <color indexed="23"/>
        <rFont val="Verdana"/>
        <family val="2"/>
      </rPr>
      <t>(opció única)</t>
    </r>
  </si>
  <si>
    <r>
      <t xml:space="preserve">Per què has escollit els estudis en què t’has matriculat?
</t>
    </r>
    <r>
      <rPr>
        <sz val="12"/>
        <color indexed="23"/>
        <rFont val="Verdana"/>
        <family val="2"/>
      </rPr>
      <t>(pots marcar més d'una opció)</t>
    </r>
  </si>
  <si>
    <t xml:space="preserve">Has participat en activitats d'orientació dels estudis de la UPC? </t>
  </si>
  <si>
    <r>
      <t xml:space="preserve">Quins canals has utilitzat per informar-te? 
</t>
    </r>
    <r>
      <rPr>
        <sz val="12"/>
        <color indexed="23"/>
        <rFont val="Verdana"/>
        <family val="2"/>
      </rPr>
      <t>(pots marcar més d'una opció)</t>
    </r>
  </si>
  <si>
    <r>
      <t>5. Per graduar-te a la UPC hauràs d'acreditar la competència en una tercera llengua. Disposes d'algun d'aquests certificats d'anglès de nivell B2.2?</t>
    </r>
    <r>
      <rPr>
        <sz val="10"/>
        <color indexed="23"/>
        <rFont val="Verdana"/>
        <family val="2"/>
      </rPr>
      <t xml:space="preserve"> </t>
    </r>
    <r>
      <rPr>
        <b/>
        <sz val="10"/>
        <color indexed="23"/>
        <rFont val="Verdana"/>
        <family val="2"/>
      </rPr>
      <t xml:space="preserve">
</t>
    </r>
    <r>
      <rPr>
        <sz val="10"/>
        <color indexed="23"/>
        <rFont val="Verdana"/>
        <family val="2"/>
      </rPr>
      <t>(pots marcar més d'una opció)</t>
    </r>
  </si>
  <si>
    <r>
      <t>Per graduar-te a la UPC hauràs d'acreditar la competència en una tercera llengua. Disposes d'algun d'aquests certificats d'anglès de nivell B2.2?</t>
    </r>
    <r>
      <rPr>
        <sz val="12"/>
        <color indexed="23"/>
        <rFont val="Verdana"/>
        <family val="2"/>
      </rPr>
      <t xml:space="preserve"> </t>
    </r>
    <r>
      <rPr>
        <b/>
        <sz val="12"/>
        <color indexed="23"/>
        <rFont val="Verdana"/>
        <family val="2"/>
      </rPr>
      <t xml:space="preserve">
</t>
    </r>
    <r>
      <rPr>
        <sz val="12"/>
        <color indexed="23"/>
        <rFont val="Verdana"/>
        <family val="2"/>
      </rPr>
      <t>(pots marcar més d'una opció)</t>
    </r>
  </si>
  <si>
    <r>
      <t xml:space="preserve">Per què has triat aquesta escola/facultat per cursar aquests estudis?
</t>
    </r>
    <r>
      <rPr>
        <sz val="12"/>
        <color indexed="23"/>
        <rFont val="Verdana"/>
        <family val="2"/>
      </rPr>
      <t>(pots marcar més d'una opció)</t>
    </r>
  </si>
  <si>
    <t>2016 - 2017</t>
  </si>
  <si>
    <t>2017 - 2018</t>
  </si>
  <si>
    <t>Ho vaig decidir en el moment de triar l'opció universitària</t>
  </si>
  <si>
    <t>Crec que és l'única que ofereix aquests estudis</t>
  </si>
  <si>
    <t>Femení</t>
  </si>
  <si>
    <t>Artés - IES Miquel Bosch i Jover (C. Arquitecte Gaudí, 2-4)</t>
  </si>
  <si>
    <t>Barcelona - Escola Pia Balmes (C. Balmes, 208)</t>
  </si>
  <si>
    <t>Barcelona - Escola Tècnica Professional de El Clot (C. València, 680)</t>
  </si>
  <si>
    <t>Barcelona - IES Montserrat (C. Copèrnic, 84)</t>
  </si>
  <si>
    <t>Esparreguera - IES El Castell (Av. de Barcelona, s/n)</t>
  </si>
  <si>
    <t>Manresa - IES Lacetània (Av. Bases de Manresa, 51-59)</t>
  </si>
  <si>
    <t>Manresa - IES Pius Font i Quer (C. Amadeu Vives, s/n)</t>
  </si>
  <si>
    <t>Parets del Vallès - IES Torre de Malla (abans Ies de Parets) (Av. Espanya, 116)</t>
  </si>
  <si>
    <t>Ripollet - IES Palau Ausit (Ctra. de Santiga, 56)</t>
  </si>
  <si>
    <t>Sabadell - IES Escola Industrial (C. Calderón, 56)</t>
  </si>
  <si>
    <t>Sant Celoni - IES Baix Montseny (Ctra. de Campins, s/n)</t>
  </si>
  <si>
    <t>Sant Vicenç de Castellet - IES Castellet (C. Bisbe Perelló, s/n)</t>
  </si>
  <si>
    <t>Súria - IES Mig-Món (C. Ramon i Cajal, 9-11)</t>
  </si>
  <si>
    <t>Tarragona - IES Antoni de Martí i Franquès (C. Enric d'Ossó, 3)</t>
  </si>
  <si>
    <t>Terrassa - IES Montserrat Roig (C. Cervantes, 46)</t>
  </si>
  <si>
    <t>Terrassa - Mare de Déu del Carme (C. Voluntaris Olímpics, 54)</t>
  </si>
  <si>
    <t>Valls - IES Jaume Huguet (C. Creu de Cames, s/n)</t>
  </si>
  <si>
    <t>Cambridge: First Certificate in English (FCE)</t>
  </si>
  <si>
    <t>ESCOLA POLITÈCNICA SUPERIOR D'ENGINYERIA DE MANRESA</t>
  </si>
  <si>
    <t>Grau en Eng. de Sistemes TIC</t>
  </si>
  <si>
    <t>Grau en Eng. Electrònica Industrial i Automàtica</t>
  </si>
  <si>
    <t>Grau en Eng. Mecànica</t>
  </si>
  <si>
    <t>Grau en Eng. Minera</t>
  </si>
  <si>
    <t>Grau en Eng. d'Automoció</t>
  </si>
  <si>
    <t>Grau en Eng. Química</t>
  </si>
  <si>
    <t>Abrera - IES Voltrera (Pg. de l'Estació, 18)</t>
  </si>
  <si>
    <t>Altafulla - IES Altafulla (Camí de l’Oliverot, s/n)</t>
  </si>
  <si>
    <t>Balaguer - IES Ciutat de Balaguer (C. Urgell, 94)</t>
  </si>
  <si>
    <t>Barcelona - Casp-Sagrat Cor de Jesús (C. Casp, 25)</t>
  </si>
  <si>
    <t>Barcelona - Centre d'Estudis Politècnics (Plaça Urquinaona, 10)</t>
  </si>
  <si>
    <t>Barcelona - Escola d'Art del Treball (C. Comte d'Urgell, 187)</t>
  </si>
  <si>
    <t>Barcelona - ESEPP Samper (C. Diputació, 292 baixos)</t>
  </si>
  <si>
    <t>Barcelona - IES Ernest Lluch (C. Diputació,11-15)</t>
  </si>
  <si>
    <t>Barcelona - IES Joan d'Àustria (C. Selva de Mar, 211)</t>
  </si>
  <si>
    <t>Barcelona - IES Manuel Carrasco i Formiguera (C. Santa Fe, 2)</t>
  </si>
  <si>
    <t>Barcelona - IES XXV Olimpíada (C. Dàlia, s/n)</t>
  </si>
  <si>
    <t>Barcelona - Joan Pelegrí (C. Consell de Cent, 14)</t>
  </si>
  <si>
    <t>Barcelona - L'Esperança (C. Quito, 25-37)</t>
  </si>
  <si>
    <t>Barcelona - Roca (Av. Meridiana, 263)</t>
  </si>
  <si>
    <t>Berga - IES Guillem de Berguedà (Cami de Pedret, 2)</t>
  </si>
  <si>
    <t>Calaf - IES Alexandre de Riquer (C. Joan Baptista de la Salle, 6 i 8)</t>
  </si>
  <si>
    <t>Caldes de Montbui - Escola Pia de Caldes de Montbui (Avda. Josep Fontcuberta, 166)</t>
  </si>
  <si>
    <t>Capellades - IES Molí de la Vila (C. Call, 56)</t>
  </si>
  <si>
    <t>Cardona - IES Sant Ramon (Plaça Compte i Viladomat, 1)</t>
  </si>
  <si>
    <t>Castellbisbal - IES de Castellbisbal (Plaça Lluís Companys, 7)</t>
  </si>
  <si>
    <t>Centelles - IES Pere Barnils (Av. Pere Barnils, s/n)</t>
  </si>
  <si>
    <t>Cerdanyola del Vallès - IES Banús (Sant Casimir, 16)</t>
  </si>
  <si>
    <t>Esparreguera - IES El Cairat (C. Gorgonçana, 1)</t>
  </si>
  <si>
    <t>Figueres - IES Alexandre Deulofeu (Joaquim Cosí Fortonet, 3)</t>
  </si>
  <si>
    <t>Figueres - IES Narcís Monturiol (C/ Joaquim Serra, 30)</t>
  </si>
  <si>
    <t>Girona - IES Carles Rahola i Llorens (C. Joan Miró i Ferrà, 10)</t>
  </si>
  <si>
    <t>Granollers - Cervetó (C. Isabel de Villena, 43-45)</t>
  </si>
  <si>
    <t>Igualada - Escola Pia d'Igualada (Pl. Castells, 10)</t>
  </si>
  <si>
    <t>Igualada - IES Milà i Fontanals (Av. Emili Vallès, 4)</t>
  </si>
  <si>
    <t>Inca (Mallorca) - IES Berenguer d'Anoia (Av. Alcudia, s/n)</t>
  </si>
  <si>
    <t>Jorba - Mestral (Carretera NII, km 550)</t>
  </si>
  <si>
    <t>Jorba - Montclar (Antiga Ctra. N-II, s/n)</t>
  </si>
  <si>
    <t>La Sénia - IES de La Sénia (C. Domenges, s/n)</t>
  </si>
  <si>
    <t>La Seu d'Urgell - La Salle (C/ Joan Baptista de la Salle 27)</t>
  </si>
  <si>
    <t>L'Hospitalet de Llobregat - IES Bellvitge (Av. Amèrica, 99)</t>
  </si>
  <si>
    <t>Malgrat de Mar - Vedruna (C. Mar, 30-32)</t>
  </si>
  <si>
    <t>Manresa - IES Cal Gravat (C. Domènech i Montaner, 54 - 56)</t>
  </si>
  <si>
    <t>Manlleu - La Salle Manlleu (C. Enric Delaris, 68)</t>
  </si>
  <si>
    <t>Manresa - IES Lluís de Peguera (Pl. Espanya, 2)</t>
  </si>
  <si>
    <t>Manresa - Joviat (C. Folch i Torres, 5-13)</t>
  </si>
  <si>
    <t>Manresa - La Salle (C. Pau, 109-111)</t>
  </si>
  <si>
    <t>Martorell - IES Pompeu Fabra (C. Fèlix Duran i Canyameres, 3)</t>
  </si>
  <si>
    <t>Mataró - Meritxell (C. Passet, 16 (Urb. Can Quirze))</t>
  </si>
  <si>
    <t>Moià - IES de Moianès (C. de l'Institut, 2-4)</t>
  </si>
  <si>
    <t>Navàs - Escola Diocesana de Navàs (C. Vicenç Vidal, 2)</t>
  </si>
  <si>
    <t>Olesa de Montserrat - Daina Isard (C. Cerdanya, 15)</t>
  </si>
  <si>
    <t>Olesa de Montserrat - IES Creu de Saba (Francesc Macià, 193)</t>
  </si>
  <si>
    <t>Olesa de Montserrat - IES Daniel Blanxart i Pedrals (C. Vall d'Aran, s/n)</t>
  </si>
  <si>
    <t>Puig-reig - IES de Puig-reig (Passeig Riera de la Sala, 3)</t>
  </si>
  <si>
    <t>Reus - IES Lluís Domènech i Montaner (C. Maspujol, 21-23)</t>
  </si>
  <si>
    <t>Rubí - IES J.V. Foix (Can Sempere, s/n)</t>
  </si>
  <si>
    <t>Sabadell - Escola Pia de Sabadell (C. Escola Pia, 92)</t>
  </si>
  <si>
    <t>Sabadell - IES de Sabadell (C. Juvenal, 1)</t>
  </si>
  <si>
    <t>Sabadell - IES Vallès (Valentí Almirall, s/n)</t>
  </si>
  <si>
    <t>Sallent - IES Llobregat (C. Estació, 11-21)</t>
  </si>
  <si>
    <t>Sant Carles de la Ràpita - IES Els Alfacs (C. Dr. Torné, s/n)</t>
  </si>
  <si>
    <t>Sant Feliu de Llobregat - Bon Salvador (C. d'Armenteres, 39)</t>
  </si>
  <si>
    <t>Sant Fruitós de Bages - IES Gerbert d'Aurillac (Av. Lluís Companys,s/n)</t>
  </si>
  <si>
    <t>Sant Joan de Vilatorrada - IES Quercus (Av. Montserrat, 95)</t>
  </si>
  <si>
    <t>Sant Pere de Vilamajor - IES de Vilamajor (C. de Can Llobera, s/n)</t>
  </si>
  <si>
    <t>Sant Quirze del Vallès - IES Sant Quirze del Vallès (C. Bages, 21)</t>
  </si>
  <si>
    <t>Sant Vicenç dels Horts - IES Frederic Mompou (Av. Mas Pico, 69)</t>
  </si>
  <si>
    <t>Sant Vicenç dels Horts - Salesians Sant Vicenç dels Horts (C. Rafael de Casanovas, 132)</t>
  </si>
  <si>
    <t>Santa Coloma de Gramenet - IES Numància (C. Prat de la Riba, 118)</t>
  </si>
  <si>
    <t>Santpedor - IES d'Auro (C. Convent, 24)</t>
  </si>
  <si>
    <t>Seròs - IES Seròs (Pl. de les Escoles, s/n)</t>
  </si>
  <si>
    <t>Solsona - Arrels II (Av. Cardenal Tarancón, 49)</t>
  </si>
  <si>
    <t>Solsona - IES Francesc Ribalta (C. Francesc  Ribalta, s/n)</t>
  </si>
  <si>
    <t>Torelló - IES Cirviànum de Torelló (C. Ausiàs March s/n)</t>
  </si>
  <si>
    <t>Tortosa - IES Joaquim Bau (Av. Estadi, 14)</t>
  </si>
  <si>
    <t>Vallirana - IES Vall d'Arús (C. Mestres Esqué i Artó, s/n)</t>
  </si>
  <si>
    <t>Vic - IES de Vic (Av. Sant Bernat Calbó, 8)</t>
  </si>
  <si>
    <t>Vielha e Mijaran - IES d'Aran (Ctra. de Betren, s/n)</t>
  </si>
  <si>
    <t>Viladecans - IES Miramar (Av. Miramar, s/n)</t>
  </si>
  <si>
    <t>Vilassar de Mar - IES Pere Ribot (C. Santa Eugènia, 62-72)</t>
  </si>
  <si>
    <r>
      <t>6. Com has conegut l'escola de Manresa?</t>
    </r>
    <r>
      <rPr>
        <b/>
        <sz val="10"/>
        <color indexed="23"/>
        <rFont val="Verdana"/>
        <family val="2"/>
      </rPr>
      <t xml:space="preserve">
</t>
    </r>
    <r>
      <rPr>
        <sz val="10"/>
        <color indexed="23"/>
        <rFont val="Verdana"/>
        <family val="2"/>
      </rPr>
      <t>(pots marcar més d'una opció)</t>
    </r>
  </si>
  <si>
    <t>7. Població de residència</t>
  </si>
  <si>
    <t>7.1 La teva residència habitual es troba dins de Catalunya?</t>
  </si>
  <si>
    <t>8. Durant el curs t'allotges a una residència universitària?</t>
  </si>
  <si>
    <t>Quina?</t>
  </si>
  <si>
    <t>Amics / familiars que hi estudien</t>
  </si>
  <si>
    <t>Guia de l’ensenyament superior</t>
  </si>
  <si>
    <t>Sessió informativa al teu institut</t>
  </si>
  <si>
    <t>Jornada de Portes Obertes a l’EPSEM</t>
  </si>
  <si>
    <t>Saló de l’Ensenyament (Barcelona)</t>
  </si>
  <si>
    <t>Fira de l’Estudiant (Manresa)</t>
  </si>
  <si>
    <t>Activitats de la Setmana de la Ciència</t>
  </si>
  <si>
    <t>Prova Cangur</t>
  </si>
  <si>
    <t>Pàgina web de la UPC</t>
  </si>
  <si>
    <t>Pàgina web de l'EPSEM</t>
  </si>
  <si>
    <t>Museu de Geologia</t>
  </si>
  <si>
    <t>Tallers de robots</t>
  </si>
  <si>
    <t>Facebook/Twitter/Instagram de l'EPSEM</t>
  </si>
  <si>
    <t>Anuncis a la ràdio</t>
  </si>
  <si>
    <t>Anuncis a la premsa</t>
  </si>
  <si>
    <t>Abrera</t>
  </si>
  <si>
    <t>Albi, l'</t>
  </si>
  <si>
    <t>Albons</t>
  </si>
  <si>
    <t>Artés</t>
  </si>
  <si>
    <t>Avinyó</t>
  </si>
  <si>
    <t>Balenyà</t>
  </si>
  <si>
    <t>Balsareny</t>
  </si>
  <si>
    <t>Barcelona</t>
  </si>
  <si>
    <t>Berga</t>
  </si>
  <si>
    <t>Calaf</t>
  </si>
  <si>
    <t>Caldes de Montbui</t>
  </si>
  <si>
    <t>Callús</t>
  </si>
  <si>
    <t>Calonge de Segarra</t>
  </si>
  <si>
    <t>Cardona</t>
  </si>
  <si>
    <t>Castellbell i el Vilar</t>
  </si>
  <si>
    <t>Castellbisbal</t>
  </si>
  <si>
    <t>Castellcir</t>
  </si>
  <si>
    <t>Castellgalí</t>
  </si>
  <si>
    <t>Castellnou de Bages</t>
  </si>
  <si>
    <t>Centelles</t>
  </si>
  <si>
    <t>Cerdanyola del Vallès</t>
  </si>
  <si>
    <t>Collbató</t>
  </si>
  <si>
    <t>Esparreguera</t>
  </si>
  <si>
    <t>Fonollosa</t>
  </si>
  <si>
    <t>Girona</t>
  </si>
  <si>
    <t>Granollers</t>
  </si>
  <si>
    <t>Hospitalet de Llobregat, l'</t>
  </si>
  <si>
    <t>Manresa</t>
  </si>
  <si>
    <t>Martorell</t>
  </si>
  <si>
    <t>Moià</t>
  </si>
  <si>
    <t>Monistrol de Montserrat</t>
  </si>
  <si>
    <t>Navarcles</t>
  </si>
  <si>
    <t>Navàs</t>
  </si>
  <si>
    <t>Olesa de Montserrat</t>
  </si>
  <si>
    <t>Perafita</t>
  </si>
  <si>
    <t>Piera</t>
  </si>
  <si>
    <t>Pont de Vilomara i Rocafort, el</t>
  </si>
  <si>
    <t>Pujalt</t>
  </si>
  <si>
    <t>Rubí</t>
  </si>
  <si>
    <t>Sabadell</t>
  </si>
  <si>
    <t>Sallent</t>
  </si>
  <si>
    <t>Sant Antoni de Vilamajor</t>
  </si>
  <si>
    <t>Sant Celoni</t>
  </si>
  <si>
    <t>Sant Fruitós de Bages</t>
  </si>
  <si>
    <t>Sant Joan de Vilatorrada</t>
  </si>
  <si>
    <t>Sant Quirze del Vallès</t>
  </si>
  <si>
    <t>Sant Vicenç de Castellet</t>
  </si>
  <si>
    <t>Sant Vicenç de Torelló</t>
  </si>
  <si>
    <t>Sant Vicenç dels Horts</t>
  </si>
  <si>
    <t>Santa Coloma de Gramenet</t>
  </si>
  <si>
    <t>Santa Maria d'Oló</t>
  </si>
  <si>
    <t>Santpedor</t>
  </si>
  <si>
    <t>Solsona</t>
  </si>
  <si>
    <t>Súria</t>
  </si>
  <si>
    <t>Terrassa</t>
  </si>
  <si>
    <t>Torre de Claramunt, la</t>
  </si>
  <si>
    <t>Vallirana</t>
  </si>
  <si>
    <t>Vic</t>
  </si>
  <si>
    <t>Viladecans</t>
  </si>
  <si>
    <t>M'allotjo a la Residència del Campus Universitari de Manresa</t>
  </si>
  <si>
    <t>M'allotjo en una altra residència</t>
  </si>
  <si>
    <t>Transport públic</t>
  </si>
  <si>
    <t>Cotxe</t>
  </si>
  <si>
    <t>Bicicleta</t>
  </si>
  <si>
    <t>Motocicleta</t>
  </si>
  <si>
    <t>Caminant</t>
  </si>
  <si>
    <t>Altres transports</t>
  </si>
  <si>
    <t>Pels que contestes que sí (poden marcar més d'una opció):</t>
  </si>
  <si>
    <r>
      <t>9. Per venir a l'EPSEM utilitzes?</t>
    </r>
    <r>
      <rPr>
        <b/>
        <sz val="10"/>
        <color indexed="23"/>
        <rFont val="Verdana"/>
        <family val="2"/>
      </rPr>
      <t xml:space="preserve">
</t>
    </r>
    <r>
      <rPr>
        <sz val="10"/>
        <color indexed="23"/>
        <rFont val="Verdana"/>
        <family val="2"/>
      </rPr>
      <t>(pots marcar més d'una opció)</t>
    </r>
  </si>
  <si>
    <r>
      <t>Com has conegut l'escola de Manresa?</t>
    </r>
    <r>
      <rPr>
        <b/>
        <sz val="10"/>
        <color indexed="23"/>
        <rFont val="Verdana"/>
        <family val="2"/>
      </rPr>
      <t xml:space="preserve">
</t>
    </r>
    <r>
      <rPr>
        <sz val="12"/>
        <color indexed="23"/>
        <rFont val="Verdana"/>
        <family val="2"/>
      </rPr>
      <t>(pots marcar més d'una opció)</t>
    </r>
  </si>
  <si>
    <r>
      <t>La teva residència habitual es troba dins de Catalunya?</t>
    </r>
    <r>
      <rPr>
        <b/>
        <sz val="12"/>
        <color indexed="23"/>
        <rFont val="Verdana"/>
        <family val="2"/>
      </rPr>
      <t xml:space="preserve">
</t>
    </r>
  </si>
  <si>
    <t>Durant el curs t'allotges a una residència universitària?</t>
  </si>
  <si>
    <r>
      <t>Quin mitjà de transport utilitzes per anar a l'EPSEM?</t>
    </r>
    <r>
      <rPr>
        <b/>
        <sz val="10"/>
        <color indexed="23"/>
        <rFont val="Verdana"/>
        <family val="2"/>
      </rPr>
      <t xml:space="preserve">
</t>
    </r>
    <r>
      <rPr>
        <sz val="12"/>
        <color indexed="23"/>
        <rFont val="Verdana"/>
        <family val="2"/>
      </rPr>
      <t>(pots marcar més d'una opció)</t>
    </r>
  </si>
  <si>
    <t>N</t>
  </si>
  <si>
    <t>Grau en Eng. Electrònica Ind.l i Automàtica</t>
  </si>
  <si>
    <t>Grau en Eng. Electrònica Ind. i Automàtica</t>
  </si>
  <si>
    <t>Indica el municipi on es troba la teva residència habitual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</si>
</sst>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###0.0"/>
  </numFmts>
  <fonts count="66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9"/>
      <name val="Arial Bold"/>
      <family val="0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10"/>
      <name val="Verdana"/>
      <family val="2"/>
    </font>
    <font>
      <b/>
      <sz val="12"/>
      <color indexed="8"/>
      <name val="Arial Bold"/>
      <family val="0"/>
    </font>
    <font>
      <b/>
      <sz val="12"/>
      <color indexed="23"/>
      <name val="Verdana"/>
      <family val="2"/>
    </font>
    <font>
      <sz val="12"/>
      <color indexed="23"/>
      <name val="Verdana"/>
      <family val="2"/>
    </font>
    <font>
      <b/>
      <sz val="9"/>
      <color indexed="8"/>
      <name val="Arial Bold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8"/>
      <name val="Verdana"/>
      <family val="2"/>
    </font>
    <font>
      <b/>
      <sz val="16"/>
      <color indexed="57"/>
      <name val="Arial"/>
      <family val="2"/>
    </font>
    <font>
      <b/>
      <sz val="22"/>
      <color indexed="57"/>
      <name val="Arial"/>
      <family val="2"/>
    </font>
    <font>
      <b/>
      <sz val="11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 tint="-0.4999699890613556"/>
      <name val="Calibri"/>
      <family val="2"/>
    </font>
    <font>
      <sz val="10"/>
      <color theme="1"/>
      <name val="Verdana"/>
      <family val="2"/>
    </font>
    <font>
      <b/>
      <sz val="10"/>
      <color theme="0" tint="-0.4999699890613556"/>
      <name val="Verdana"/>
      <family val="2"/>
    </font>
    <font>
      <b/>
      <sz val="10"/>
      <color theme="0"/>
      <name val="Verdana"/>
      <family val="2"/>
    </font>
    <font>
      <b/>
      <sz val="12"/>
      <color theme="0" tint="-0.4999699890613556"/>
      <name val="Verdana"/>
      <family val="2"/>
    </font>
    <font>
      <b/>
      <sz val="16"/>
      <color theme="9" tint="-0.4999699890613556"/>
      <name val="Arial"/>
      <family val="2"/>
    </font>
    <font>
      <b/>
      <sz val="22"/>
      <color theme="9" tint="-0.4999699890613556"/>
      <name val="Arial"/>
      <family val="2"/>
    </font>
    <font>
      <b/>
      <sz val="11"/>
      <color theme="2" tint="-0.7499799728393555"/>
      <name val="Verdana"/>
      <family val="2"/>
    </font>
    <font>
      <sz val="10"/>
      <color theme="0" tint="-0.499969989061355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/>
      <right/>
      <top/>
      <bottom style="thin"/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ck">
        <color indexed="8"/>
      </right>
      <top>
        <color indexed="8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17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right" vertical="center"/>
    </xf>
    <xf numFmtId="173" fontId="1" fillId="0" borderId="12" xfId="0" applyNumberFormat="1" applyFont="1" applyBorder="1" applyAlignment="1">
      <alignment horizontal="right" vertical="center"/>
    </xf>
    <xf numFmtId="172" fontId="1" fillId="0" borderId="12" xfId="0" applyNumberFormat="1" applyFont="1" applyBorder="1" applyAlignment="1">
      <alignment horizontal="right" vertical="center"/>
    </xf>
    <xf numFmtId="172" fontId="1" fillId="0" borderId="13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173" fontId="1" fillId="0" borderId="15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0" fontId="57" fillId="33" borderId="16" xfId="62" applyFont="1" applyFill="1" applyBorder="1" applyAlignment="1">
      <alignment vertical="center"/>
    </xf>
    <xf numFmtId="0" fontId="57" fillId="33" borderId="0" xfId="62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172" fontId="1" fillId="0" borderId="0" xfId="0" applyNumberFormat="1" applyFont="1" applyBorder="1" applyAlignment="1">
      <alignment horizontal="right" vertical="center"/>
    </xf>
    <xf numFmtId="17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 wrapText="1"/>
    </xf>
    <xf numFmtId="0" fontId="59" fillId="33" borderId="16" xfId="62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72" fontId="1" fillId="34" borderId="0" xfId="0" applyNumberFormat="1" applyFont="1" applyFill="1" applyBorder="1" applyAlignment="1">
      <alignment horizontal="right" vertical="center"/>
    </xf>
    <xf numFmtId="173" fontId="1" fillId="34" borderId="0" xfId="0" applyNumberFormat="1" applyFont="1" applyFill="1" applyBorder="1" applyAlignment="1">
      <alignment horizontal="right" vertical="center"/>
    </xf>
    <xf numFmtId="0" fontId="60" fillId="34" borderId="0" xfId="0" applyFont="1" applyFill="1" applyAlignment="1">
      <alignment horizontal="center" vertical="center" wrapText="1"/>
    </xf>
    <xf numFmtId="0" fontId="61" fillId="33" borderId="0" xfId="62" applyFont="1" applyFill="1" applyBorder="1" applyAlignment="1">
      <alignment horizontal="left" vertical="center" wrapText="1"/>
    </xf>
    <xf numFmtId="0" fontId="0" fillId="0" borderId="0" xfId="53">
      <alignment/>
      <protection/>
    </xf>
    <xf numFmtId="0" fontId="1" fillId="34" borderId="0" xfId="0" applyFont="1" applyFill="1" applyBorder="1" applyAlignment="1">
      <alignment horizontal="left" vertical="top" wrapText="1"/>
    </xf>
    <xf numFmtId="174" fontId="1" fillId="34" borderId="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18" borderId="17" xfId="0" applyFont="1" applyFill="1" applyBorder="1" applyAlignment="1">
      <alignment wrapText="1"/>
    </xf>
    <xf numFmtId="0" fontId="1" fillId="18" borderId="18" xfId="0" applyFont="1" applyFill="1" applyBorder="1" applyAlignment="1">
      <alignment wrapText="1"/>
    </xf>
    <xf numFmtId="0" fontId="1" fillId="18" borderId="19" xfId="0" applyFont="1" applyFill="1" applyBorder="1" applyAlignment="1">
      <alignment wrapText="1"/>
    </xf>
    <xf numFmtId="0" fontId="2" fillId="18" borderId="20" xfId="0" applyFont="1" applyFill="1" applyBorder="1" applyAlignment="1">
      <alignment horizontal="center" wrapText="1"/>
    </xf>
    <xf numFmtId="0" fontId="2" fillId="18" borderId="21" xfId="0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57" fillId="33" borderId="0" xfId="62" applyFont="1" applyFill="1" applyBorder="1" applyAlignment="1">
      <alignment horizontal="left" vertical="center"/>
    </xf>
    <xf numFmtId="0" fontId="61" fillId="33" borderId="0" xfId="62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173" fontId="1" fillId="0" borderId="25" xfId="0" applyNumberFormat="1" applyFont="1" applyBorder="1" applyAlignment="1">
      <alignment horizontal="right" vertical="center"/>
    </xf>
    <xf numFmtId="172" fontId="1" fillId="0" borderId="25" xfId="0" applyNumberFormat="1" applyFont="1" applyBorder="1" applyAlignment="1">
      <alignment horizontal="right" vertical="center"/>
    </xf>
    <xf numFmtId="172" fontId="1" fillId="0" borderId="26" xfId="0" applyNumberFormat="1" applyFont="1" applyBorder="1" applyAlignment="1">
      <alignment horizontal="right" vertical="center"/>
    </xf>
    <xf numFmtId="173" fontId="1" fillId="0" borderId="27" xfId="0" applyNumberFormat="1" applyFont="1" applyBorder="1" applyAlignment="1">
      <alignment horizontal="right" vertical="center"/>
    </xf>
    <xf numFmtId="172" fontId="1" fillId="0" borderId="27" xfId="0" applyNumberFormat="1" applyFont="1" applyBorder="1" applyAlignment="1">
      <alignment horizontal="right" vertical="center"/>
    </xf>
    <xf numFmtId="0" fontId="0" fillId="34" borderId="0" xfId="0" applyFill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34" borderId="28" xfId="0" applyFill="1" applyBorder="1" applyAlignment="1">
      <alignment/>
    </xf>
    <xf numFmtId="172" fontId="1" fillId="6" borderId="27" xfId="0" applyNumberFormat="1" applyFont="1" applyFill="1" applyBorder="1" applyAlignment="1">
      <alignment horizontal="right" vertical="center"/>
    </xf>
    <xf numFmtId="173" fontId="1" fillId="6" borderId="29" xfId="0" applyNumberFormat="1" applyFont="1" applyFill="1" applyBorder="1" applyAlignment="1">
      <alignment horizontal="right" vertical="center"/>
    </xf>
    <xf numFmtId="172" fontId="1" fillId="6" borderId="12" xfId="0" applyNumberFormat="1" applyFont="1" applyFill="1" applyBorder="1" applyAlignment="1">
      <alignment horizontal="right" vertical="center"/>
    </xf>
    <xf numFmtId="173" fontId="1" fillId="6" borderId="30" xfId="0" applyNumberFormat="1" applyFont="1" applyFill="1" applyBorder="1" applyAlignment="1">
      <alignment horizontal="right" vertical="center"/>
    </xf>
    <xf numFmtId="172" fontId="1" fillId="6" borderId="25" xfId="0" applyNumberFormat="1" applyFont="1" applyFill="1" applyBorder="1" applyAlignment="1">
      <alignment horizontal="right" vertical="center"/>
    </xf>
    <xf numFmtId="173" fontId="1" fillId="6" borderId="31" xfId="0" applyNumberFormat="1" applyFont="1" applyFill="1" applyBorder="1" applyAlignment="1">
      <alignment horizontal="right" vertical="center"/>
    </xf>
    <xf numFmtId="172" fontId="1" fillId="6" borderId="15" xfId="0" applyNumberFormat="1" applyFont="1" applyFill="1" applyBorder="1" applyAlignment="1">
      <alignment horizontal="right" vertical="center"/>
    </xf>
    <xf numFmtId="173" fontId="1" fillId="6" borderId="32" xfId="0" applyNumberFormat="1" applyFont="1" applyFill="1" applyBorder="1" applyAlignment="1">
      <alignment horizontal="right" vertical="center"/>
    </xf>
    <xf numFmtId="0" fontId="1" fillId="18" borderId="33" xfId="0" applyFont="1" applyFill="1" applyBorder="1" applyAlignment="1">
      <alignment wrapText="1"/>
    </xf>
    <xf numFmtId="0" fontId="1" fillId="18" borderId="34" xfId="0" applyFont="1" applyFill="1" applyBorder="1" applyAlignment="1">
      <alignment wrapText="1"/>
    </xf>
    <xf numFmtId="0" fontId="1" fillId="18" borderId="35" xfId="0" applyFont="1" applyFill="1" applyBorder="1" applyAlignment="1">
      <alignment wrapText="1"/>
    </xf>
    <xf numFmtId="174" fontId="1" fillId="6" borderId="31" xfId="0" applyNumberFormat="1" applyFont="1" applyFill="1" applyBorder="1" applyAlignment="1">
      <alignment horizontal="right" vertical="center"/>
    </xf>
    <xf numFmtId="0" fontId="62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53" applyFont="1" applyFill="1" applyBorder="1" applyAlignment="1">
      <alignment horizontal="left" vertical="top" wrapText="1"/>
      <protection/>
    </xf>
    <xf numFmtId="172" fontId="1" fillId="34" borderId="0" xfId="53" applyNumberFormat="1" applyFont="1" applyFill="1" applyBorder="1" applyAlignment="1">
      <alignment horizontal="right" vertical="center"/>
      <protection/>
    </xf>
    <xf numFmtId="173" fontId="1" fillId="34" borderId="0" xfId="53" applyNumberFormat="1" applyFont="1" applyFill="1" applyBorder="1" applyAlignment="1">
      <alignment horizontal="right" vertical="center"/>
      <protection/>
    </xf>
    <xf numFmtId="0" fontId="0" fillId="34" borderId="0" xfId="53" applyFill="1" applyBorder="1">
      <alignment/>
      <protection/>
    </xf>
    <xf numFmtId="0" fontId="11" fillId="34" borderId="0" xfId="0" applyFont="1" applyFill="1" applyBorder="1" applyAlignment="1">
      <alignment vertical="center" wrapText="1"/>
    </xf>
    <xf numFmtId="0" fontId="59" fillId="33" borderId="0" xfId="62" applyFont="1" applyFill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59" fillId="33" borderId="0" xfId="62" applyFont="1" applyFill="1" applyBorder="1" applyAlignment="1">
      <alignment horizontal="left" wrapText="1"/>
    </xf>
    <xf numFmtId="0" fontId="2" fillId="18" borderId="36" xfId="0" applyFont="1" applyFill="1" applyBorder="1" applyAlignment="1">
      <alignment horizontal="center" wrapText="1"/>
    </xf>
    <xf numFmtId="0" fontId="1" fillId="0" borderId="17" xfId="53" applyFont="1" applyBorder="1" applyAlignment="1">
      <alignment horizontal="left" vertical="top" wrapText="1"/>
      <protection/>
    </xf>
    <xf numFmtId="0" fontId="1" fillId="0" borderId="33" xfId="53" applyFont="1" applyBorder="1" applyAlignment="1">
      <alignment horizontal="left" vertical="top" wrapText="1"/>
      <protection/>
    </xf>
    <xf numFmtId="172" fontId="1" fillId="0" borderId="11" xfId="53" applyNumberFormat="1" applyFont="1" applyBorder="1" applyAlignment="1">
      <alignment horizontal="right" vertical="center"/>
      <protection/>
    </xf>
    <xf numFmtId="173" fontId="1" fillId="0" borderId="12" xfId="53" applyNumberFormat="1" applyFont="1" applyBorder="1" applyAlignment="1">
      <alignment horizontal="right" vertical="center"/>
      <protection/>
    </xf>
    <xf numFmtId="172" fontId="1" fillId="0" borderId="12" xfId="53" applyNumberFormat="1" applyFont="1" applyBorder="1" applyAlignment="1">
      <alignment horizontal="right" vertical="center"/>
      <protection/>
    </xf>
    <xf numFmtId="173" fontId="1" fillId="0" borderId="30" xfId="53" applyNumberFormat="1" applyFont="1" applyBorder="1" applyAlignment="1">
      <alignment horizontal="right" vertical="center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34" xfId="53" applyFont="1" applyBorder="1" applyAlignment="1">
      <alignment horizontal="left" vertical="top" wrapText="1"/>
      <protection/>
    </xf>
    <xf numFmtId="172" fontId="1" fillId="0" borderId="13" xfId="53" applyNumberFormat="1" applyFont="1" applyBorder="1" applyAlignment="1">
      <alignment horizontal="right" vertical="center"/>
      <protection/>
    </xf>
    <xf numFmtId="173" fontId="1" fillId="0" borderId="25" xfId="53" applyNumberFormat="1" applyFont="1" applyBorder="1" applyAlignment="1">
      <alignment horizontal="right" vertical="center"/>
      <protection/>
    </xf>
    <xf numFmtId="172" fontId="1" fillId="0" borderId="25" xfId="53" applyNumberFormat="1" applyFont="1" applyBorder="1" applyAlignment="1">
      <alignment horizontal="right" vertical="center"/>
      <protection/>
    </xf>
    <xf numFmtId="173" fontId="1" fillId="0" borderId="31" xfId="53" applyNumberFormat="1" applyFont="1" applyBorder="1" applyAlignment="1">
      <alignment horizontal="right" vertical="center"/>
      <protection/>
    </xf>
    <xf numFmtId="0" fontId="1" fillId="0" borderId="19" xfId="53" applyFont="1" applyBorder="1" applyAlignment="1">
      <alignment horizontal="left" vertical="top" wrapText="1"/>
      <protection/>
    </xf>
    <xf numFmtId="0" fontId="1" fillId="0" borderId="35" xfId="53" applyFont="1" applyBorder="1" applyAlignment="1">
      <alignment horizontal="left" vertical="top" wrapText="1"/>
      <protection/>
    </xf>
    <xf numFmtId="172" fontId="1" fillId="0" borderId="14" xfId="53" applyNumberFormat="1" applyFont="1" applyBorder="1" applyAlignment="1">
      <alignment horizontal="right" vertical="center"/>
      <protection/>
    </xf>
    <xf numFmtId="173" fontId="1" fillId="0" borderId="15" xfId="53" applyNumberFormat="1" applyFont="1" applyBorder="1" applyAlignment="1">
      <alignment horizontal="right" vertical="center"/>
      <protection/>
    </xf>
    <xf numFmtId="172" fontId="1" fillId="0" borderId="15" xfId="53" applyNumberFormat="1" applyFont="1" applyBorder="1" applyAlignment="1">
      <alignment horizontal="right" vertical="center"/>
      <protection/>
    </xf>
    <xf numFmtId="173" fontId="1" fillId="0" borderId="32" xfId="53" applyNumberFormat="1" applyFont="1" applyBorder="1" applyAlignment="1">
      <alignment horizontal="right" vertical="center"/>
      <protection/>
    </xf>
    <xf numFmtId="0" fontId="1" fillId="0" borderId="18" xfId="53" applyFont="1" applyBorder="1" applyAlignment="1">
      <alignment vertical="top" wrapText="1"/>
      <protection/>
    </xf>
    <xf numFmtId="0" fontId="1" fillId="0" borderId="17" xfId="53" applyFont="1" applyBorder="1" applyAlignment="1">
      <alignment vertical="top" wrapText="1"/>
      <protection/>
    </xf>
    <xf numFmtId="0" fontId="1" fillId="0" borderId="19" xfId="53" applyFont="1" applyBorder="1" applyAlignment="1">
      <alignment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24" xfId="53" applyFont="1" applyBorder="1" applyAlignment="1">
      <alignment horizontal="left" vertical="top" wrapText="1"/>
      <protection/>
    </xf>
    <xf numFmtId="174" fontId="1" fillId="0" borderId="31" xfId="53" applyNumberFormat="1" applyFont="1" applyBorder="1" applyAlignment="1">
      <alignment horizontal="right" vertical="center"/>
      <protection/>
    </xf>
    <xf numFmtId="0" fontId="1" fillId="0" borderId="10" xfId="53" applyFont="1" applyBorder="1" applyAlignment="1">
      <alignment horizontal="left" vertical="top" wrapText="1"/>
      <protection/>
    </xf>
    <xf numFmtId="174" fontId="1" fillId="0" borderId="32" xfId="53" applyNumberFormat="1" applyFont="1" applyBorder="1" applyAlignment="1">
      <alignment horizontal="right" vertical="center"/>
      <protection/>
    </xf>
    <xf numFmtId="173" fontId="1" fillId="0" borderId="37" xfId="53" applyNumberFormat="1" applyFont="1" applyBorder="1" applyAlignment="1">
      <alignment horizontal="right" vertical="center"/>
      <protection/>
    </xf>
    <xf numFmtId="173" fontId="1" fillId="34" borderId="38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3" fontId="1" fillId="0" borderId="40" xfId="53" applyNumberFormat="1" applyFont="1" applyBorder="1" applyAlignment="1">
      <alignment horizontal="right" vertical="center"/>
      <protection/>
    </xf>
    <xf numFmtId="0" fontId="1" fillId="18" borderId="17" xfId="53" applyFont="1" applyFill="1" applyBorder="1" applyAlignment="1">
      <alignment wrapText="1"/>
      <protection/>
    </xf>
    <xf numFmtId="0" fontId="1" fillId="18" borderId="18" xfId="53" applyFont="1" applyFill="1" applyBorder="1" applyAlignment="1">
      <alignment wrapText="1"/>
      <protection/>
    </xf>
    <xf numFmtId="0" fontId="1" fillId="18" borderId="19" xfId="53" applyFont="1" applyFill="1" applyBorder="1" applyAlignment="1">
      <alignment wrapText="1"/>
      <protection/>
    </xf>
    <xf numFmtId="0" fontId="2" fillId="18" borderId="20" xfId="53" applyFont="1" applyFill="1" applyBorder="1" applyAlignment="1">
      <alignment horizontal="center" wrapText="1"/>
      <protection/>
    </xf>
    <xf numFmtId="0" fontId="2" fillId="18" borderId="21" xfId="53" applyFont="1" applyFill="1" applyBorder="1" applyAlignment="1">
      <alignment horizontal="center" wrapText="1"/>
      <protection/>
    </xf>
    <xf numFmtId="0" fontId="2" fillId="18" borderId="22" xfId="53" applyFont="1" applyFill="1" applyBorder="1" applyAlignment="1">
      <alignment horizontal="center" wrapText="1"/>
      <protection/>
    </xf>
    <xf numFmtId="172" fontId="1" fillId="6" borderId="12" xfId="53" applyNumberFormat="1" applyFont="1" applyFill="1" applyBorder="1" applyAlignment="1">
      <alignment horizontal="right" vertical="center"/>
      <protection/>
    </xf>
    <xf numFmtId="173" fontId="1" fillId="6" borderId="30" xfId="53" applyNumberFormat="1" applyFont="1" applyFill="1" applyBorder="1" applyAlignment="1">
      <alignment horizontal="right" vertical="center"/>
      <protection/>
    </xf>
    <xf numFmtId="172" fontId="1" fillId="6" borderId="25" xfId="53" applyNumberFormat="1" applyFont="1" applyFill="1" applyBorder="1" applyAlignment="1">
      <alignment horizontal="right" vertical="center"/>
      <protection/>
    </xf>
    <xf numFmtId="173" fontId="1" fillId="6" borderId="31" xfId="53" applyNumberFormat="1" applyFont="1" applyFill="1" applyBorder="1" applyAlignment="1">
      <alignment horizontal="right" vertical="center"/>
      <protection/>
    </xf>
    <xf numFmtId="172" fontId="1" fillId="6" borderId="15" xfId="53" applyNumberFormat="1" applyFont="1" applyFill="1" applyBorder="1" applyAlignment="1">
      <alignment horizontal="right" vertical="center"/>
      <protection/>
    </xf>
    <xf numFmtId="173" fontId="1" fillId="6" borderId="40" xfId="53" applyNumberFormat="1" applyFont="1" applyFill="1" applyBorder="1" applyAlignment="1">
      <alignment horizontal="right" vertical="center"/>
      <protection/>
    </xf>
    <xf numFmtId="0" fontId="63" fillId="34" borderId="0" xfId="0" applyFont="1" applyFill="1" applyAlignment="1">
      <alignment/>
    </xf>
    <xf numFmtId="0" fontId="0" fillId="0" borderId="0" xfId="52">
      <alignment/>
      <protection/>
    </xf>
    <xf numFmtId="0" fontId="2" fillId="18" borderId="21" xfId="52" applyFont="1" applyFill="1" applyBorder="1" applyAlignment="1">
      <alignment horizontal="center" wrapText="1"/>
      <protection/>
    </xf>
    <xf numFmtId="0" fontId="2" fillId="18" borderId="22" xfId="52" applyFont="1" applyFill="1" applyBorder="1" applyAlignment="1">
      <alignment horizontal="center" wrapText="1"/>
      <protection/>
    </xf>
    <xf numFmtId="0" fontId="57" fillId="33" borderId="39" xfId="62" applyFont="1" applyFill="1" applyBorder="1" applyAlignment="1">
      <alignment horizontal="left" vertical="center"/>
    </xf>
    <xf numFmtId="172" fontId="12" fillId="0" borderId="26" xfId="0" applyNumberFormat="1" applyFont="1" applyBorder="1" applyAlignment="1">
      <alignment horizontal="right" vertical="center"/>
    </xf>
    <xf numFmtId="173" fontId="12" fillId="0" borderId="27" xfId="0" applyNumberFormat="1" applyFont="1" applyBorder="1" applyAlignment="1">
      <alignment horizontal="right" vertical="center"/>
    </xf>
    <xf numFmtId="172" fontId="12" fillId="0" borderId="27" xfId="0" applyNumberFormat="1" applyFont="1" applyBorder="1" applyAlignment="1">
      <alignment horizontal="right" vertical="center"/>
    </xf>
    <xf numFmtId="172" fontId="12" fillId="34" borderId="27" xfId="0" applyNumberFormat="1" applyFont="1" applyFill="1" applyBorder="1" applyAlignment="1">
      <alignment horizontal="right" vertical="center"/>
    </xf>
    <xf numFmtId="173" fontId="12" fillId="34" borderId="29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172" fontId="12" fillId="0" borderId="26" xfId="52" applyNumberFormat="1" applyFont="1" applyBorder="1" applyAlignment="1">
      <alignment horizontal="right" vertical="center"/>
      <protection/>
    </xf>
    <xf numFmtId="173" fontId="12" fillId="0" borderId="27" xfId="52" applyNumberFormat="1" applyFont="1" applyBorder="1" applyAlignment="1">
      <alignment horizontal="right" vertical="center"/>
      <protection/>
    </xf>
    <xf numFmtId="172" fontId="12" fillId="0" borderId="27" xfId="52" applyNumberFormat="1" applyFont="1" applyBorder="1" applyAlignment="1">
      <alignment horizontal="right" vertical="center"/>
      <protection/>
    </xf>
    <xf numFmtId="173" fontId="12" fillId="0" borderId="29" xfId="52" applyNumberFormat="1" applyFont="1" applyBorder="1" applyAlignment="1">
      <alignment horizontal="right" vertical="center"/>
      <protection/>
    </xf>
    <xf numFmtId="0" fontId="13" fillId="0" borderId="0" xfId="52" applyFont="1">
      <alignment/>
      <protection/>
    </xf>
    <xf numFmtId="0" fontId="2" fillId="18" borderId="41" xfId="0" applyFont="1" applyFill="1" applyBorder="1" applyAlignment="1">
      <alignment horizontal="center" wrapText="1"/>
    </xf>
    <xf numFmtId="0" fontId="2" fillId="18" borderId="42" xfId="0" applyFont="1" applyFill="1" applyBorder="1" applyAlignment="1">
      <alignment horizontal="center" wrapText="1"/>
    </xf>
    <xf numFmtId="0" fontId="2" fillId="18" borderId="43" xfId="0" applyFont="1" applyFill="1" applyBorder="1" applyAlignment="1">
      <alignment horizontal="center" wrapText="1"/>
    </xf>
    <xf numFmtId="0" fontId="59" fillId="33" borderId="0" xfId="62" applyFont="1" applyFill="1" applyBorder="1" applyAlignment="1">
      <alignment horizontal="left" wrapText="1"/>
    </xf>
    <xf numFmtId="0" fontId="2" fillId="18" borderId="44" xfId="0" applyFont="1" applyFill="1" applyBorder="1" applyAlignment="1">
      <alignment horizontal="center" wrapText="1"/>
    </xf>
    <xf numFmtId="0" fontId="2" fillId="18" borderId="45" xfId="0" applyFont="1" applyFill="1" applyBorder="1" applyAlignment="1">
      <alignment horizontal="center" wrapText="1"/>
    </xf>
    <xf numFmtId="0" fontId="2" fillId="18" borderId="46" xfId="0" applyFont="1" applyFill="1" applyBorder="1" applyAlignment="1">
      <alignment horizontal="center" wrapText="1"/>
    </xf>
    <xf numFmtId="0" fontId="2" fillId="18" borderId="47" xfId="0" applyFont="1" applyFill="1" applyBorder="1" applyAlignment="1">
      <alignment horizontal="center" wrapText="1"/>
    </xf>
    <xf numFmtId="0" fontId="2" fillId="18" borderId="48" xfId="0" applyFont="1" applyFill="1" applyBorder="1" applyAlignment="1">
      <alignment horizontal="center" wrapText="1"/>
    </xf>
    <xf numFmtId="0" fontId="2" fillId="18" borderId="49" xfId="0" applyFont="1" applyFill="1" applyBorder="1" applyAlignment="1">
      <alignment horizontal="center" wrapText="1"/>
    </xf>
    <xf numFmtId="0" fontId="1" fillId="18" borderId="23" xfId="0" applyFont="1" applyFill="1" applyBorder="1" applyAlignment="1">
      <alignment horizontal="left" wrapText="1"/>
    </xf>
    <xf numFmtId="0" fontId="1" fillId="18" borderId="24" xfId="0" applyFont="1" applyFill="1" applyBorder="1" applyAlignment="1">
      <alignment horizontal="left" wrapText="1"/>
    </xf>
    <xf numFmtId="0" fontId="1" fillId="18" borderId="10" xfId="0" applyFont="1" applyFill="1" applyBorder="1" applyAlignment="1">
      <alignment horizontal="left" wrapText="1"/>
    </xf>
    <xf numFmtId="0" fontId="2" fillId="18" borderId="50" xfId="0" applyFont="1" applyFill="1" applyBorder="1" applyAlignment="1">
      <alignment horizontal="center" wrapText="1"/>
    </xf>
    <xf numFmtId="0" fontId="2" fillId="18" borderId="51" xfId="0" applyFont="1" applyFill="1" applyBorder="1" applyAlignment="1">
      <alignment horizontal="center" wrapText="1"/>
    </xf>
    <xf numFmtId="0" fontId="2" fillId="18" borderId="52" xfId="0" applyFont="1" applyFill="1" applyBorder="1" applyAlignment="1">
      <alignment horizontal="center" wrapText="1"/>
    </xf>
    <xf numFmtId="0" fontId="2" fillId="18" borderId="53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33" borderId="16" xfId="62" applyFont="1" applyFill="1" applyBorder="1" applyAlignment="1">
      <alignment horizontal="left" vertical="center" wrapText="1"/>
    </xf>
    <xf numFmtId="0" fontId="1" fillId="18" borderId="23" xfId="53" applyFont="1" applyFill="1" applyBorder="1" applyAlignment="1">
      <alignment horizontal="left" wrapText="1"/>
      <protection/>
    </xf>
    <xf numFmtId="0" fontId="1" fillId="18" borderId="10" xfId="53" applyFont="1" applyFill="1" applyBorder="1" applyAlignment="1">
      <alignment horizontal="left" wrapText="1"/>
      <protection/>
    </xf>
    <xf numFmtId="0" fontId="2" fillId="18" borderId="46" xfId="53" applyFont="1" applyFill="1" applyBorder="1" applyAlignment="1">
      <alignment horizontal="center" wrapText="1"/>
      <protection/>
    </xf>
    <xf numFmtId="0" fontId="2" fillId="18" borderId="47" xfId="53" applyFont="1" applyFill="1" applyBorder="1" applyAlignment="1">
      <alignment horizontal="center" wrapText="1"/>
      <protection/>
    </xf>
    <xf numFmtId="0" fontId="2" fillId="18" borderId="48" xfId="53" applyFont="1" applyFill="1" applyBorder="1" applyAlignment="1">
      <alignment horizontal="center" wrapText="1"/>
      <protection/>
    </xf>
    <xf numFmtId="0" fontId="2" fillId="18" borderId="49" xfId="53" applyFont="1" applyFill="1" applyBorder="1" applyAlignment="1">
      <alignment horizontal="center" wrapText="1"/>
      <protection/>
    </xf>
    <xf numFmtId="0" fontId="2" fillId="18" borderId="44" xfId="53" applyFont="1" applyFill="1" applyBorder="1" applyAlignment="1">
      <alignment horizontal="center" wrapText="1"/>
      <protection/>
    </xf>
    <xf numFmtId="0" fontId="2" fillId="18" borderId="45" xfId="53" applyFont="1" applyFill="1" applyBorder="1" applyAlignment="1">
      <alignment horizontal="center" wrapText="1"/>
      <protection/>
    </xf>
    <xf numFmtId="0" fontId="59" fillId="33" borderId="16" xfId="62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wrapText="1"/>
    </xf>
    <xf numFmtId="0" fontId="60" fillId="35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64" fillId="16" borderId="0" xfId="0" applyFont="1" applyFill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61" fillId="33" borderId="0" xfId="62" applyFont="1" applyFill="1" applyBorder="1" applyAlignment="1">
      <alignment horizontal="left" vertical="center" wrapText="1"/>
    </xf>
    <xf numFmtId="0" fontId="57" fillId="33" borderId="0" xfId="62" applyFont="1" applyFill="1" applyBorder="1" applyAlignment="1">
      <alignment horizontal="left" vertical="center"/>
    </xf>
    <xf numFmtId="0" fontId="9" fillId="33" borderId="0" xfId="62" applyFont="1" applyFill="1" applyBorder="1" applyAlignment="1">
      <alignment horizontal="left" vertical="center" wrapText="1"/>
    </xf>
    <xf numFmtId="0" fontId="2" fillId="18" borderId="54" xfId="52" applyFont="1" applyFill="1" applyBorder="1" applyAlignment="1">
      <alignment horizontal="center" wrapText="1"/>
      <protection/>
    </xf>
    <xf numFmtId="0" fontId="2" fillId="18" borderId="55" xfId="52" applyFont="1" applyFill="1" applyBorder="1" applyAlignment="1">
      <alignment horizontal="center" wrapText="1"/>
      <protection/>
    </xf>
    <xf numFmtId="0" fontId="2" fillId="18" borderId="56" xfId="52" applyFont="1" applyFill="1" applyBorder="1" applyAlignment="1">
      <alignment horizontal="center" wrapText="1"/>
      <protection/>
    </xf>
    <xf numFmtId="0" fontId="63" fillId="19" borderId="0" xfId="0" applyFont="1" applyFill="1" applyAlignment="1">
      <alignment horizontal="center"/>
    </xf>
    <xf numFmtId="0" fontId="2" fillId="18" borderId="57" xfId="0" applyFont="1" applyFill="1" applyBorder="1" applyAlignment="1">
      <alignment horizontal="center" wrapText="1"/>
    </xf>
    <xf numFmtId="0" fontId="2" fillId="18" borderId="58" xfId="0" applyFont="1" applyFill="1" applyBorder="1" applyAlignment="1">
      <alignment horizontal="center" wrapText="1"/>
    </xf>
    <xf numFmtId="0" fontId="2" fillId="18" borderId="59" xfId="0" applyFont="1" applyFill="1" applyBorder="1" applyAlignment="1">
      <alignment horizontal="center" wrapText="1"/>
    </xf>
    <xf numFmtId="0" fontId="2" fillId="18" borderId="60" xfId="52" applyFont="1" applyFill="1" applyBorder="1" applyAlignment="1">
      <alignment horizontal="center" wrapText="1"/>
      <protection/>
    </xf>
  </cellXfs>
  <cellStyles count="51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Comparativa" xfId="52"/>
    <cellStyle name="Normal_Taules" xfId="53"/>
    <cellStyle name="Nota" xfId="54"/>
    <cellStyle name="Percent" xfId="55"/>
    <cellStyle name="Resultat" xfId="56"/>
    <cellStyle name="Text d'advertiment" xfId="57"/>
    <cellStyle name="Text explicatiu" xfId="58"/>
    <cellStyle name="Títol" xfId="59"/>
    <cellStyle name="Títol 1" xfId="60"/>
    <cellStyle name="Títol 2" xfId="61"/>
    <cellStyle name="Títol 3" xfId="62"/>
    <cellStyle name="Títol 4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184</xdr:row>
      <xdr:rowOff>66675</xdr:rowOff>
    </xdr:from>
    <xdr:to>
      <xdr:col>0</xdr:col>
      <xdr:colOff>457200</xdr:colOff>
      <xdr:row>189</xdr:row>
      <xdr:rowOff>142875</xdr:rowOff>
    </xdr:to>
    <xdr:grpSp>
      <xdr:nvGrpSpPr>
        <xdr:cNvPr id="1" name="Agrupa 14"/>
        <xdr:cNvGrpSpPr>
          <a:grpSpLocks/>
        </xdr:cNvGrpSpPr>
      </xdr:nvGrpSpPr>
      <xdr:grpSpPr>
        <a:xfrm>
          <a:off x="133350" y="32423100"/>
          <a:ext cx="323850" cy="828675"/>
          <a:chOff x="171450" y="60417075"/>
          <a:chExt cx="323850" cy="723900"/>
        </a:xfrm>
        <a:solidFill>
          <a:srgbClr val="FFFFFF"/>
        </a:solidFill>
      </xdr:grpSpPr>
      <xdr:sp>
        <xdr:nvSpPr>
          <xdr:cNvPr id="2" name="Connector recte 11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Connector recte 12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Connector de fletxa recta 13"/>
          <xdr:cNvSpPr>
            <a:spLocks/>
          </xdr:cNvSpPr>
        </xdr:nvSpPr>
        <xdr:spPr>
          <a:xfrm>
            <a:off x="171450" y="61140975"/>
            <a:ext cx="257137" cy="0"/>
          </a:xfrm>
          <a:prstGeom prst="straightConnector1">
            <a:avLst/>
          </a:prstGeom>
          <a:noFill/>
          <a:ln w="1270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333</xdr:row>
      <xdr:rowOff>76200</xdr:rowOff>
    </xdr:from>
    <xdr:to>
      <xdr:col>0</xdr:col>
      <xdr:colOff>457200</xdr:colOff>
      <xdr:row>337</xdr:row>
      <xdr:rowOff>238125</xdr:rowOff>
    </xdr:to>
    <xdr:grpSp>
      <xdr:nvGrpSpPr>
        <xdr:cNvPr id="5" name="Agrupa 14"/>
        <xdr:cNvGrpSpPr>
          <a:grpSpLocks/>
        </xdr:cNvGrpSpPr>
      </xdr:nvGrpSpPr>
      <xdr:grpSpPr>
        <a:xfrm>
          <a:off x="133350" y="59226450"/>
          <a:ext cx="323850" cy="838200"/>
          <a:chOff x="171450" y="60417075"/>
          <a:chExt cx="323850" cy="723900"/>
        </a:xfrm>
        <a:solidFill>
          <a:srgbClr val="FFFFFF"/>
        </a:solidFill>
      </xdr:grpSpPr>
      <xdr:sp>
        <xdr:nvSpPr>
          <xdr:cNvPr id="6" name="Connector recte 6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nector recte 7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nector de fletxa recta 8"/>
          <xdr:cNvSpPr>
            <a:spLocks/>
          </xdr:cNvSpPr>
        </xdr:nvSpPr>
        <xdr:spPr>
          <a:xfrm>
            <a:off x="171450" y="61140975"/>
            <a:ext cx="257137" cy="0"/>
          </a:xfrm>
          <a:prstGeom prst="straightConnector1">
            <a:avLst/>
          </a:prstGeom>
          <a:noFill/>
          <a:ln w="1270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260</xdr:row>
      <xdr:rowOff>95250</xdr:rowOff>
    </xdr:from>
    <xdr:to>
      <xdr:col>0</xdr:col>
      <xdr:colOff>447675</xdr:colOff>
      <xdr:row>265</xdr:row>
      <xdr:rowOff>76200</xdr:rowOff>
    </xdr:to>
    <xdr:grpSp>
      <xdr:nvGrpSpPr>
        <xdr:cNvPr id="9" name="Agrupa 14"/>
        <xdr:cNvGrpSpPr>
          <a:grpSpLocks/>
        </xdr:cNvGrpSpPr>
      </xdr:nvGrpSpPr>
      <xdr:grpSpPr>
        <a:xfrm>
          <a:off x="123825" y="46691550"/>
          <a:ext cx="323850" cy="828675"/>
          <a:chOff x="171450" y="60417075"/>
          <a:chExt cx="323850" cy="723900"/>
        </a:xfrm>
        <a:solidFill>
          <a:srgbClr val="FFFFFF"/>
        </a:solidFill>
      </xdr:grpSpPr>
      <xdr:sp>
        <xdr:nvSpPr>
          <xdr:cNvPr id="10" name="Connector recte 10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Connector recte 14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Connector de fletxa recta 15"/>
          <xdr:cNvSpPr>
            <a:spLocks/>
          </xdr:cNvSpPr>
        </xdr:nvSpPr>
        <xdr:spPr>
          <a:xfrm>
            <a:off x="171450" y="61140975"/>
            <a:ext cx="257137" cy="0"/>
          </a:xfrm>
          <a:prstGeom prst="straightConnector1">
            <a:avLst/>
          </a:prstGeom>
          <a:noFill/>
          <a:ln w="1270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7</xdr:row>
      <xdr:rowOff>171450</xdr:rowOff>
    </xdr:from>
    <xdr:to>
      <xdr:col>14</xdr:col>
      <xdr:colOff>114300</xdr:colOff>
      <xdr:row>35</xdr:row>
      <xdr:rowOff>9525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0"/>
          <a:ext cx="82581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38</xdr:row>
      <xdr:rowOff>171450</xdr:rowOff>
    </xdr:from>
    <xdr:to>
      <xdr:col>12</xdr:col>
      <xdr:colOff>152400</xdr:colOff>
      <xdr:row>66</xdr:row>
      <xdr:rowOff>9525</xdr:rowOff>
    </xdr:to>
    <xdr:pic>
      <xdr:nvPicPr>
        <xdr:cNvPr id="2" name="Imat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7058025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69</xdr:row>
      <xdr:rowOff>171450</xdr:rowOff>
    </xdr:from>
    <xdr:to>
      <xdr:col>12</xdr:col>
      <xdr:colOff>152400</xdr:colOff>
      <xdr:row>97</xdr:row>
      <xdr:rowOff>9525</xdr:rowOff>
    </xdr:to>
    <xdr:pic>
      <xdr:nvPicPr>
        <xdr:cNvPr id="3" name="Imat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2115800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101</xdr:row>
      <xdr:rowOff>95250</xdr:rowOff>
    </xdr:from>
    <xdr:to>
      <xdr:col>17</xdr:col>
      <xdr:colOff>285750</xdr:colOff>
      <xdr:row>134</xdr:row>
      <xdr:rowOff>38100</xdr:rowOff>
    </xdr:to>
    <xdr:pic>
      <xdr:nvPicPr>
        <xdr:cNvPr id="4" name="Imat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7802225"/>
          <a:ext cx="102012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138</xdr:row>
      <xdr:rowOff>38100</xdr:rowOff>
    </xdr:from>
    <xdr:to>
      <xdr:col>17</xdr:col>
      <xdr:colOff>323850</xdr:colOff>
      <xdr:row>170</xdr:row>
      <xdr:rowOff>152400</xdr:rowOff>
    </xdr:to>
    <xdr:pic>
      <xdr:nvPicPr>
        <xdr:cNvPr id="5" name="Imatg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24022050"/>
          <a:ext cx="102393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175</xdr:row>
      <xdr:rowOff>38100</xdr:rowOff>
    </xdr:from>
    <xdr:to>
      <xdr:col>17</xdr:col>
      <xdr:colOff>285750</xdr:colOff>
      <xdr:row>207</xdr:row>
      <xdr:rowOff>142875</xdr:rowOff>
    </xdr:to>
    <xdr:pic>
      <xdr:nvPicPr>
        <xdr:cNvPr id="6" name="Imat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30499050"/>
          <a:ext cx="102012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211</xdr:row>
      <xdr:rowOff>95250</xdr:rowOff>
    </xdr:from>
    <xdr:to>
      <xdr:col>17</xdr:col>
      <xdr:colOff>285750</xdr:colOff>
      <xdr:row>244</xdr:row>
      <xdr:rowOff>38100</xdr:rowOff>
    </xdr:to>
    <xdr:pic>
      <xdr:nvPicPr>
        <xdr:cNvPr id="7" name="Imatg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36556950"/>
          <a:ext cx="102012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244</xdr:row>
      <xdr:rowOff>123825</xdr:rowOff>
    </xdr:from>
    <xdr:to>
      <xdr:col>16</xdr:col>
      <xdr:colOff>419100</xdr:colOff>
      <xdr:row>272</xdr:row>
      <xdr:rowOff>0</xdr:rowOff>
    </xdr:to>
    <xdr:pic>
      <xdr:nvPicPr>
        <xdr:cNvPr id="8" name="Imatg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57525" y="41929050"/>
          <a:ext cx="71151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278</xdr:row>
      <xdr:rowOff>85725</xdr:rowOff>
    </xdr:from>
    <xdr:to>
      <xdr:col>17</xdr:col>
      <xdr:colOff>285750</xdr:colOff>
      <xdr:row>311</xdr:row>
      <xdr:rowOff>28575</xdr:rowOff>
    </xdr:to>
    <xdr:pic>
      <xdr:nvPicPr>
        <xdr:cNvPr id="9" name="Imatg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47596425"/>
          <a:ext cx="102012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316</xdr:row>
      <xdr:rowOff>47625</xdr:rowOff>
    </xdr:from>
    <xdr:to>
      <xdr:col>17</xdr:col>
      <xdr:colOff>285750</xdr:colOff>
      <xdr:row>348</xdr:row>
      <xdr:rowOff>152400</xdr:rowOff>
    </xdr:to>
    <xdr:pic>
      <xdr:nvPicPr>
        <xdr:cNvPr id="10" name="Imatg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" y="54178200"/>
          <a:ext cx="102012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352</xdr:row>
      <xdr:rowOff>104775</xdr:rowOff>
    </xdr:from>
    <xdr:to>
      <xdr:col>17</xdr:col>
      <xdr:colOff>285750</xdr:colOff>
      <xdr:row>383</xdr:row>
      <xdr:rowOff>9525</xdr:rowOff>
    </xdr:to>
    <xdr:pic>
      <xdr:nvPicPr>
        <xdr:cNvPr id="11" name="Imatg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" y="60321825"/>
          <a:ext cx="102012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388</xdr:row>
      <xdr:rowOff>19050</xdr:rowOff>
    </xdr:from>
    <xdr:to>
      <xdr:col>17</xdr:col>
      <xdr:colOff>323850</xdr:colOff>
      <xdr:row>418</xdr:row>
      <xdr:rowOff>123825</xdr:rowOff>
    </xdr:to>
    <xdr:pic>
      <xdr:nvPicPr>
        <xdr:cNvPr id="12" name="Imatg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" y="66484500"/>
          <a:ext cx="102393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423</xdr:row>
      <xdr:rowOff>38100</xdr:rowOff>
    </xdr:from>
    <xdr:to>
      <xdr:col>17</xdr:col>
      <xdr:colOff>323850</xdr:colOff>
      <xdr:row>454</xdr:row>
      <xdr:rowOff>0</xdr:rowOff>
    </xdr:to>
    <xdr:pic>
      <xdr:nvPicPr>
        <xdr:cNvPr id="13" name="Imatg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7675" y="72723375"/>
          <a:ext cx="102393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487</xdr:row>
      <xdr:rowOff>142875</xdr:rowOff>
    </xdr:from>
    <xdr:to>
      <xdr:col>17</xdr:col>
      <xdr:colOff>323850</xdr:colOff>
      <xdr:row>518</xdr:row>
      <xdr:rowOff>133350</xdr:rowOff>
    </xdr:to>
    <xdr:pic>
      <xdr:nvPicPr>
        <xdr:cNvPr id="14" name="Imatg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7675" y="83753325"/>
          <a:ext cx="102393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452</xdr:row>
      <xdr:rowOff>76200</xdr:rowOff>
    </xdr:from>
    <xdr:to>
      <xdr:col>17</xdr:col>
      <xdr:colOff>457200</xdr:colOff>
      <xdr:row>485</xdr:row>
      <xdr:rowOff>19050</xdr:rowOff>
    </xdr:to>
    <xdr:pic>
      <xdr:nvPicPr>
        <xdr:cNvPr id="15" name="Imatg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86175" y="77762100"/>
          <a:ext cx="713422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215</xdr:row>
      <xdr:rowOff>76200</xdr:rowOff>
    </xdr:from>
    <xdr:to>
      <xdr:col>14</xdr:col>
      <xdr:colOff>457200</xdr:colOff>
      <xdr:row>244</xdr:row>
      <xdr:rowOff>19050</xdr:rowOff>
    </xdr:to>
    <xdr:grpSp>
      <xdr:nvGrpSpPr>
        <xdr:cNvPr id="16" name="Agrupa 14"/>
        <xdr:cNvGrpSpPr>
          <a:grpSpLocks/>
        </xdr:cNvGrpSpPr>
      </xdr:nvGrpSpPr>
      <xdr:grpSpPr>
        <a:xfrm flipH="1">
          <a:off x="8553450" y="37185600"/>
          <a:ext cx="438150" cy="4638675"/>
          <a:chOff x="171450" y="60417075"/>
          <a:chExt cx="323850" cy="723900"/>
        </a:xfrm>
        <a:solidFill>
          <a:srgbClr val="FFFFFF"/>
        </a:solidFill>
      </xdr:grpSpPr>
      <xdr:sp>
        <xdr:nvSpPr>
          <xdr:cNvPr id="17" name="Connector recte 35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Connector recte 36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Connector de fletxa recta 37"/>
          <xdr:cNvSpPr>
            <a:spLocks/>
          </xdr:cNvSpPr>
        </xdr:nvSpPr>
        <xdr:spPr>
          <a:xfrm>
            <a:off x="171450" y="61140975"/>
            <a:ext cx="260456" cy="0"/>
          </a:xfrm>
          <a:prstGeom prst="straightConnector1">
            <a:avLst/>
          </a:prstGeom>
          <a:noFill/>
          <a:ln w="1905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219075</xdr:colOff>
      <xdr:row>426</xdr:row>
      <xdr:rowOff>104775</xdr:rowOff>
    </xdr:from>
    <xdr:to>
      <xdr:col>15</xdr:col>
      <xdr:colOff>47625</xdr:colOff>
      <xdr:row>451</xdr:row>
      <xdr:rowOff>152400</xdr:rowOff>
    </xdr:to>
    <xdr:grpSp>
      <xdr:nvGrpSpPr>
        <xdr:cNvPr id="20" name="Agrupa 14"/>
        <xdr:cNvGrpSpPr>
          <a:grpSpLocks/>
        </xdr:cNvGrpSpPr>
      </xdr:nvGrpSpPr>
      <xdr:grpSpPr>
        <a:xfrm flipH="1">
          <a:off x="8753475" y="73275825"/>
          <a:ext cx="438150" cy="4400550"/>
          <a:chOff x="171450" y="60417075"/>
          <a:chExt cx="323850" cy="723900"/>
        </a:xfrm>
        <a:solidFill>
          <a:srgbClr val="FFFFFF"/>
        </a:solidFill>
      </xdr:grpSpPr>
      <xdr:sp>
        <xdr:nvSpPr>
          <xdr:cNvPr id="21" name="Connector recte 39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Connector recte 40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Connector de fletxa recta 41"/>
          <xdr:cNvSpPr>
            <a:spLocks/>
          </xdr:cNvSpPr>
        </xdr:nvSpPr>
        <xdr:spPr>
          <a:xfrm>
            <a:off x="171450" y="61140975"/>
            <a:ext cx="260456" cy="0"/>
          </a:xfrm>
          <a:prstGeom prst="straightConnector1">
            <a:avLst/>
          </a:prstGeom>
          <a:noFill/>
          <a:ln w="1905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14</xdr:row>
      <xdr:rowOff>171450</xdr:rowOff>
    </xdr:from>
    <xdr:to>
      <xdr:col>14</xdr:col>
      <xdr:colOff>114300</xdr:colOff>
      <xdr:row>42</xdr:row>
      <xdr:rowOff>9525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771900"/>
          <a:ext cx="82581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45</xdr:row>
      <xdr:rowOff>171450</xdr:rowOff>
    </xdr:from>
    <xdr:to>
      <xdr:col>12</xdr:col>
      <xdr:colOff>152400</xdr:colOff>
      <xdr:row>73</xdr:row>
      <xdr:rowOff>9525</xdr:rowOff>
    </xdr:to>
    <xdr:pic>
      <xdr:nvPicPr>
        <xdr:cNvPr id="2" name="Imat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829675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76</xdr:row>
      <xdr:rowOff>171450</xdr:rowOff>
    </xdr:from>
    <xdr:to>
      <xdr:col>12</xdr:col>
      <xdr:colOff>152400</xdr:colOff>
      <xdr:row>104</xdr:row>
      <xdr:rowOff>9525</xdr:rowOff>
    </xdr:to>
    <xdr:pic>
      <xdr:nvPicPr>
        <xdr:cNvPr id="3" name="Imat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3887450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108</xdr:row>
      <xdr:rowOff>95250</xdr:rowOff>
    </xdr:from>
    <xdr:to>
      <xdr:col>16</xdr:col>
      <xdr:colOff>552450</xdr:colOff>
      <xdr:row>141</xdr:row>
      <xdr:rowOff>38100</xdr:rowOff>
    </xdr:to>
    <xdr:pic>
      <xdr:nvPicPr>
        <xdr:cNvPr id="4" name="Imat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9573875"/>
          <a:ext cx="101917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145</xdr:row>
      <xdr:rowOff>38100</xdr:rowOff>
    </xdr:from>
    <xdr:to>
      <xdr:col>16</xdr:col>
      <xdr:colOff>590550</xdr:colOff>
      <xdr:row>177</xdr:row>
      <xdr:rowOff>152400</xdr:rowOff>
    </xdr:to>
    <xdr:pic>
      <xdr:nvPicPr>
        <xdr:cNvPr id="5" name="Imat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793700"/>
          <a:ext cx="10229850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182</xdr:row>
      <xdr:rowOff>38100</xdr:rowOff>
    </xdr:from>
    <xdr:to>
      <xdr:col>16</xdr:col>
      <xdr:colOff>552450</xdr:colOff>
      <xdr:row>214</xdr:row>
      <xdr:rowOff>142875</xdr:rowOff>
    </xdr:to>
    <xdr:pic>
      <xdr:nvPicPr>
        <xdr:cNvPr id="6" name="Imat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32270700"/>
          <a:ext cx="101917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218</xdr:row>
      <xdr:rowOff>95250</xdr:rowOff>
    </xdr:from>
    <xdr:to>
      <xdr:col>16</xdr:col>
      <xdr:colOff>552450</xdr:colOff>
      <xdr:row>251</xdr:row>
      <xdr:rowOff>38100</xdr:rowOff>
    </xdr:to>
    <xdr:pic>
      <xdr:nvPicPr>
        <xdr:cNvPr id="7" name="Imatg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8328600"/>
          <a:ext cx="101917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251</xdr:row>
      <xdr:rowOff>104775</xdr:rowOff>
    </xdr:from>
    <xdr:to>
      <xdr:col>14</xdr:col>
      <xdr:colOff>314325</xdr:colOff>
      <xdr:row>278</xdr:row>
      <xdr:rowOff>133350</xdr:rowOff>
    </xdr:to>
    <xdr:pic>
      <xdr:nvPicPr>
        <xdr:cNvPr id="8" name="Imatg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33550" y="43681650"/>
          <a:ext cx="71151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285</xdr:row>
      <xdr:rowOff>85725</xdr:rowOff>
    </xdr:from>
    <xdr:to>
      <xdr:col>16</xdr:col>
      <xdr:colOff>552450</xdr:colOff>
      <xdr:row>318</xdr:row>
      <xdr:rowOff>28575</xdr:rowOff>
    </xdr:to>
    <xdr:pic>
      <xdr:nvPicPr>
        <xdr:cNvPr id="9" name="Imatg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9368075"/>
          <a:ext cx="101917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323</xdr:row>
      <xdr:rowOff>47625</xdr:rowOff>
    </xdr:from>
    <xdr:to>
      <xdr:col>16</xdr:col>
      <xdr:colOff>552450</xdr:colOff>
      <xdr:row>355</xdr:row>
      <xdr:rowOff>152400</xdr:rowOff>
    </xdr:to>
    <xdr:pic>
      <xdr:nvPicPr>
        <xdr:cNvPr id="10" name="Imatg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55949850"/>
          <a:ext cx="101917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359</xdr:row>
      <xdr:rowOff>104775</xdr:rowOff>
    </xdr:from>
    <xdr:to>
      <xdr:col>16</xdr:col>
      <xdr:colOff>552450</xdr:colOff>
      <xdr:row>390</xdr:row>
      <xdr:rowOff>9525</xdr:rowOff>
    </xdr:to>
    <xdr:pic>
      <xdr:nvPicPr>
        <xdr:cNvPr id="11" name="Imatg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093475"/>
          <a:ext cx="10191750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395</xdr:row>
      <xdr:rowOff>19050</xdr:rowOff>
    </xdr:from>
    <xdr:to>
      <xdr:col>16</xdr:col>
      <xdr:colOff>590550</xdr:colOff>
      <xdr:row>425</xdr:row>
      <xdr:rowOff>123825</xdr:rowOff>
    </xdr:to>
    <xdr:pic>
      <xdr:nvPicPr>
        <xdr:cNvPr id="12" name="Imatg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68256150"/>
          <a:ext cx="102298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430</xdr:row>
      <xdr:rowOff>38100</xdr:rowOff>
    </xdr:from>
    <xdr:to>
      <xdr:col>16</xdr:col>
      <xdr:colOff>590550</xdr:colOff>
      <xdr:row>461</xdr:row>
      <xdr:rowOff>0</xdr:rowOff>
    </xdr:to>
    <xdr:pic>
      <xdr:nvPicPr>
        <xdr:cNvPr id="13" name="Imatg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4495025"/>
          <a:ext cx="102298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465</xdr:row>
      <xdr:rowOff>142875</xdr:rowOff>
    </xdr:from>
    <xdr:to>
      <xdr:col>16</xdr:col>
      <xdr:colOff>590550</xdr:colOff>
      <xdr:row>496</xdr:row>
      <xdr:rowOff>133350</xdr:rowOff>
    </xdr:to>
    <xdr:pic>
      <xdr:nvPicPr>
        <xdr:cNvPr id="14" name="Imatg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80829150"/>
          <a:ext cx="10229850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571500</xdr:colOff>
      <xdr:row>45</xdr:row>
      <xdr:rowOff>171450</xdr:rowOff>
    </xdr:from>
    <xdr:to>
      <xdr:col>28</xdr:col>
      <xdr:colOff>390525</xdr:colOff>
      <xdr:row>73</xdr:row>
      <xdr:rowOff>142875</xdr:rowOff>
    </xdr:to>
    <xdr:pic>
      <xdr:nvPicPr>
        <xdr:cNvPr id="15" name="Imatg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325100" y="8829675"/>
          <a:ext cx="713422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571500</xdr:colOff>
      <xdr:row>76</xdr:row>
      <xdr:rowOff>171450</xdr:rowOff>
    </xdr:from>
    <xdr:to>
      <xdr:col>28</xdr:col>
      <xdr:colOff>390525</xdr:colOff>
      <xdr:row>104</xdr:row>
      <xdr:rowOff>142875</xdr:rowOff>
    </xdr:to>
    <xdr:pic>
      <xdr:nvPicPr>
        <xdr:cNvPr id="16" name="Imatg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325100" y="13887450"/>
          <a:ext cx="713422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14</xdr:row>
      <xdr:rowOff>171450</xdr:rowOff>
    </xdr:from>
    <xdr:to>
      <xdr:col>29</xdr:col>
      <xdr:colOff>361950</xdr:colOff>
      <xdr:row>42</xdr:row>
      <xdr:rowOff>142875</xdr:rowOff>
    </xdr:to>
    <xdr:pic>
      <xdr:nvPicPr>
        <xdr:cNvPr id="17" name="Imatg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715500" y="3771900"/>
          <a:ext cx="83248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108</xdr:row>
      <xdr:rowOff>95250</xdr:rowOff>
    </xdr:from>
    <xdr:to>
      <xdr:col>29</xdr:col>
      <xdr:colOff>323850</xdr:colOff>
      <xdr:row>142</xdr:row>
      <xdr:rowOff>47625</xdr:rowOff>
    </xdr:to>
    <xdr:pic>
      <xdr:nvPicPr>
        <xdr:cNvPr id="18" name="Imatg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810875" y="19573875"/>
          <a:ext cx="7191375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145</xdr:row>
      <xdr:rowOff>38100</xdr:rowOff>
    </xdr:from>
    <xdr:to>
      <xdr:col>29</xdr:col>
      <xdr:colOff>323850</xdr:colOff>
      <xdr:row>178</xdr:row>
      <xdr:rowOff>142875</xdr:rowOff>
    </xdr:to>
    <xdr:pic>
      <xdr:nvPicPr>
        <xdr:cNvPr id="19" name="Imatg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810875" y="25793700"/>
          <a:ext cx="7191375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182</xdr:row>
      <xdr:rowOff>38100</xdr:rowOff>
    </xdr:from>
    <xdr:to>
      <xdr:col>30</xdr:col>
      <xdr:colOff>542925</xdr:colOff>
      <xdr:row>215</xdr:row>
      <xdr:rowOff>142875</xdr:rowOff>
    </xdr:to>
    <xdr:pic>
      <xdr:nvPicPr>
        <xdr:cNvPr id="20" name="Imatg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810875" y="32270700"/>
          <a:ext cx="8020050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218</xdr:row>
      <xdr:rowOff>95250</xdr:rowOff>
    </xdr:from>
    <xdr:to>
      <xdr:col>29</xdr:col>
      <xdr:colOff>323850</xdr:colOff>
      <xdr:row>252</xdr:row>
      <xdr:rowOff>47625</xdr:rowOff>
    </xdr:to>
    <xdr:pic>
      <xdr:nvPicPr>
        <xdr:cNvPr id="21" name="Imatg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810875" y="38328600"/>
          <a:ext cx="7191375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251</xdr:row>
      <xdr:rowOff>104775</xdr:rowOff>
    </xdr:from>
    <xdr:to>
      <xdr:col>30</xdr:col>
      <xdr:colOff>581025</xdr:colOff>
      <xdr:row>279</xdr:row>
      <xdr:rowOff>123825</xdr:rowOff>
    </xdr:to>
    <xdr:pic>
      <xdr:nvPicPr>
        <xdr:cNvPr id="22" name="Imatg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734800" y="43681650"/>
          <a:ext cx="713422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285</xdr:row>
      <xdr:rowOff>85725</xdr:rowOff>
    </xdr:from>
    <xdr:to>
      <xdr:col>29</xdr:col>
      <xdr:colOff>323850</xdr:colOff>
      <xdr:row>319</xdr:row>
      <xdr:rowOff>38100</xdr:rowOff>
    </xdr:to>
    <xdr:pic>
      <xdr:nvPicPr>
        <xdr:cNvPr id="23" name="Imatg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810875" y="49368075"/>
          <a:ext cx="7191375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323</xdr:row>
      <xdr:rowOff>47625</xdr:rowOff>
    </xdr:from>
    <xdr:to>
      <xdr:col>29</xdr:col>
      <xdr:colOff>323850</xdr:colOff>
      <xdr:row>357</xdr:row>
      <xdr:rowOff>0</xdr:rowOff>
    </xdr:to>
    <xdr:pic>
      <xdr:nvPicPr>
        <xdr:cNvPr id="24" name="Imatg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810875" y="55949850"/>
          <a:ext cx="7191375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359</xdr:row>
      <xdr:rowOff>104775</xdr:rowOff>
    </xdr:from>
    <xdr:to>
      <xdr:col>29</xdr:col>
      <xdr:colOff>323850</xdr:colOff>
      <xdr:row>390</xdr:row>
      <xdr:rowOff>152400</xdr:rowOff>
    </xdr:to>
    <xdr:pic>
      <xdr:nvPicPr>
        <xdr:cNvPr id="25" name="Imatg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810875" y="62093475"/>
          <a:ext cx="7191375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429</xdr:row>
      <xdr:rowOff>295275</xdr:rowOff>
    </xdr:from>
    <xdr:to>
      <xdr:col>29</xdr:col>
      <xdr:colOff>323850</xdr:colOff>
      <xdr:row>461</xdr:row>
      <xdr:rowOff>0</xdr:rowOff>
    </xdr:to>
    <xdr:pic>
      <xdr:nvPicPr>
        <xdr:cNvPr id="26" name="Imatg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810875" y="74361675"/>
          <a:ext cx="719137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465</xdr:row>
      <xdr:rowOff>142875</xdr:rowOff>
    </xdr:from>
    <xdr:to>
      <xdr:col>29</xdr:col>
      <xdr:colOff>323850</xdr:colOff>
      <xdr:row>497</xdr:row>
      <xdr:rowOff>123825</xdr:rowOff>
    </xdr:to>
    <xdr:pic>
      <xdr:nvPicPr>
        <xdr:cNvPr id="27" name="Imatge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810875" y="80829150"/>
          <a:ext cx="7191375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295275</xdr:colOff>
      <xdr:row>222</xdr:row>
      <xdr:rowOff>57150</xdr:rowOff>
    </xdr:from>
    <xdr:to>
      <xdr:col>14</xdr:col>
      <xdr:colOff>133350</xdr:colOff>
      <xdr:row>250</xdr:row>
      <xdr:rowOff>142875</xdr:rowOff>
    </xdr:to>
    <xdr:grpSp>
      <xdr:nvGrpSpPr>
        <xdr:cNvPr id="28" name="Agrupa 14"/>
        <xdr:cNvGrpSpPr>
          <a:grpSpLocks/>
        </xdr:cNvGrpSpPr>
      </xdr:nvGrpSpPr>
      <xdr:grpSpPr>
        <a:xfrm flipH="1">
          <a:off x="8220075" y="38938200"/>
          <a:ext cx="447675" cy="4619625"/>
          <a:chOff x="171450" y="60417075"/>
          <a:chExt cx="323850" cy="723900"/>
        </a:xfrm>
        <a:solidFill>
          <a:srgbClr val="FFFFFF"/>
        </a:solidFill>
      </xdr:grpSpPr>
      <xdr:sp>
        <xdr:nvSpPr>
          <xdr:cNvPr id="29" name="Connector recte 29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Connector recte 30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Connector de fletxa recta 31"/>
          <xdr:cNvSpPr>
            <a:spLocks/>
          </xdr:cNvSpPr>
        </xdr:nvSpPr>
        <xdr:spPr>
          <a:xfrm>
            <a:off x="171450" y="61140975"/>
            <a:ext cx="260456" cy="0"/>
          </a:xfrm>
          <a:prstGeom prst="straightConnector1">
            <a:avLst/>
          </a:prstGeom>
          <a:noFill/>
          <a:ln w="1905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180975</xdr:colOff>
      <xdr:row>221</xdr:row>
      <xdr:rowOff>142875</xdr:rowOff>
    </xdr:from>
    <xdr:to>
      <xdr:col>29</xdr:col>
      <xdr:colOff>9525</xdr:colOff>
      <xdr:row>251</xdr:row>
      <xdr:rowOff>38100</xdr:rowOff>
    </xdr:to>
    <xdr:grpSp>
      <xdr:nvGrpSpPr>
        <xdr:cNvPr id="32" name="Agrupa 14"/>
        <xdr:cNvGrpSpPr>
          <a:grpSpLocks/>
        </xdr:cNvGrpSpPr>
      </xdr:nvGrpSpPr>
      <xdr:grpSpPr>
        <a:xfrm flipH="1">
          <a:off x="17249775" y="38862000"/>
          <a:ext cx="438150" cy="4752975"/>
          <a:chOff x="171450" y="60417075"/>
          <a:chExt cx="323850" cy="723900"/>
        </a:xfrm>
        <a:solidFill>
          <a:srgbClr val="FFFFFF"/>
        </a:solidFill>
      </xdr:grpSpPr>
      <xdr:sp>
        <xdr:nvSpPr>
          <xdr:cNvPr id="33" name="Connector recte 33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Connector recte 34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Connector de fletxa recta 35"/>
          <xdr:cNvSpPr>
            <a:spLocks/>
          </xdr:cNvSpPr>
        </xdr:nvSpPr>
        <xdr:spPr>
          <a:xfrm>
            <a:off x="171450" y="61140975"/>
            <a:ext cx="260456" cy="0"/>
          </a:xfrm>
          <a:prstGeom prst="straightConnector1">
            <a:avLst/>
          </a:prstGeom>
          <a:noFill/>
          <a:ln w="1905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5"/>
  <sheetViews>
    <sheetView showGridLines="0" zoomScale="115" zoomScaleNormal="115" zoomScalePageLayoutView="0" workbookViewId="0" topLeftCell="A335">
      <selection activeCell="E368" sqref="E368"/>
    </sheetView>
  </sheetViews>
  <sheetFormatPr defaultColWidth="9.140625" defaultRowHeight="12.75" customHeight="1"/>
  <cols>
    <col min="1" max="1" width="7.421875" style="0" customWidth="1"/>
    <col min="2" max="2" width="52.7109375" style="0" customWidth="1"/>
    <col min="3" max="3" width="13.28125" style="0" customWidth="1"/>
    <col min="4" max="4" width="12.140625" style="0" customWidth="1"/>
    <col min="5" max="5" width="12.421875" style="0" customWidth="1"/>
    <col min="6" max="6" width="12.28125" style="0" customWidth="1"/>
    <col min="7" max="9" width="12.140625" style="0" customWidth="1"/>
    <col min="10" max="10" width="11.8515625" style="0" customWidth="1"/>
    <col min="11" max="11" width="12.140625" style="0" customWidth="1"/>
    <col min="12" max="12" width="11.57421875" style="0" customWidth="1"/>
    <col min="13" max="13" width="12.57421875" style="0" customWidth="1"/>
    <col min="14" max="14" width="12.421875" style="0" customWidth="1"/>
    <col min="15" max="15" width="11.57421875" style="0" customWidth="1"/>
    <col min="16" max="16" width="11.00390625" style="0" customWidth="1"/>
  </cols>
  <sheetData>
    <row r="2" spans="2:11" ht="54.75" customHeight="1">
      <c r="B2" s="165" t="s">
        <v>51</v>
      </c>
      <c r="C2" s="165"/>
      <c r="D2" s="165"/>
      <c r="E2" s="165"/>
      <c r="F2" s="165"/>
      <c r="G2" s="165"/>
      <c r="H2" s="165"/>
      <c r="I2" s="165"/>
      <c r="J2" s="165"/>
      <c r="K2" s="165"/>
    </row>
    <row r="4" spans="2:11" ht="12.75" customHeight="1">
      <c r="B4" s="167" t="s">
        <v>88</v>
      </c>
      <c r="C4" s="167"/>
      <c r="D4" s="167"/>
      <c r="E4" s="167"/>
      <c r="F4" s="167"/>
      <c r="G4" s="167"/>
      <c r="H4" s="167"/>
      <c r="I4" s="167"/>
      <c r="J4" s="167"/>
      <c r="K4" s="167"/>
    </row>
    <row r="6" spans="2:8" ht="12.75" customHeight="1">
      <c r="B6" s="9" t="s">
        <v>50</v>
      </c>
      <c r="C6" s="11"/>
      <c r="D6" s="11"/>
      <c r="E6" s="11"/>
      <c r="F6" s="11"/>
      <c r="G6" s="11"/>
      <c r="H6" s="11"/>
    </row>
    <row r="7" ht="14.25" customHeight="1">
      <c r="B7" s="10"/>
    </row>
    <row r="8" spans="2:15" ht="12.75" customHeight="1" thickBot="1">
      <c r="B8" s="161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2:15" ht="28.5" customHeight="1" thickTop="1">
      <c r="B9" s="139" t="s">
        <v>12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</row>
    <row r="10" spans="2:15" ht="32.25" customHeight="1">
      <c r="B10" s="142" t="s">
        <v>89</v>
      </c>
      <c r="C10" s="137"/>
      <c r="D10" s="137" t="s">
        <v>90</v>
      </c>
      <c r="E10" s="137"/>
      <c r="F10" s="137" t="s">
        <v>91</v>
      </c>
      <c r="G10" s="137"/>
      <c r="H10" s="137" t="s">
        <v>92</v>
      </c>
      <c r="I10" s="137"/>
      <c r="J10" s="137" t="s">
        <v>93</v>
      </c>
      <c r="K10" s="137"/>
      <c r="L10" s="137" t="s">
        <v>94</v>
      </c>
      <c r="M10" s="137"/>
      <c r="N10" s="137" t="s">
        <v>3</v>
      </c>
      <c r="O10" s="138"/>
    </row>
    <row r="11" spans="2:15" ht="12.75" customHeight="1" thickBot="1">
      <c r="B11" s="31" t="s">
        <v>4</v>
      </c>
      <c r="C11" s="32" t="s">
        <v>5</v>
      </c>
      <c r="D11" s="32" t="s">
        <v>4</v>
      </c>
      <c r="E11" s="32" t="s">
        <v>5</v>
      </c>
      <c r="F11" s="32" t="s">
        <v>4</v>
      </c>
      <c r="G11" s="32" t="s">
        <v>5</v>
      </c>
      <c r="H11" s="32" t="s">
        <v>4</v>
      </c>
      <c r="I11" s="32" t="s">
        <v>5</v>
      </c>
      <c r="J11" s="32" t="s">
        <v>4</v>
      </c>
      <c r="K11" s="32" t="s">
        <v>5</v>
      </c>
      <c r="L11" s="32" t="s">
        <v>4</v>
      </c>
      <c r="M11" s="32" t="s">
        <v>5</v>
      </c>
      <c r="N11" s="32" t="s">
        <v>4</v>
      </c>
      <c r="O11" s="33" t="s">
        <v>5</v>
      </c>
    </row>
    <row r="12" spans="2:15" ht="12.75" customHeight="1" thickBot="1" thickTop="1">
      <c r="B12" s="41">
        <v>45</v>
      </c>
      <c r="C12" s="42">
        <v>0.25280898876404495</v>
      </c>
      <c r="D12" s="43">
        <v>23</v>
      </c>
      <c r="E12" s="42">
        <v>0.12921348314606743</v>
      </c>
      <c r="F12" s="43">
        <v>43</v>
      </c>
      <c r="G12" s="42">
        <v>0.24157303370786518</v>
      </c>
      <c r="H12" s="43">
        <v>8</v>
      </c>
      <c r="I12" s="42">
        <v>0.04494382022471911</v>
      </c>
      <c r="J12" s="43">
        <v>45</v>
      </c>
      <c r="K12" s="42">
        <v>0.25280898876404495</v>
      </c>
      <c r="L12" s="43">
        <v>14</v>
      </c>
      <c r="M12" s="42">
        <v>0.07865168539325842</v>
      </c>
      <c r="N12" s="50">
        <v>178</v>
      </c>
      <c r="O12" s="51">
        <v>1</v>
      </c>
    </row>
    <row r="13" spans="2:8" ht="12.75" customHeight="1" thickTop="1">
      <c r="B13" s="161"/>
      <c r="C13" s="161"/>
      <c r="D13" s="161"/>
      <c r="E13" s="161"/>
      <c r="F13" s="161"/>
      <c r="G13" s="161"/>
      <c r="H13" s="161"/>
    </row>
    <row r="14" spans="2:8" ht="12.75" customHeight="1" thickBot="1">
      <c r="B14" s="161" t="s">
        <v>1</v>
      </c>
      <c r="C14" s="161"/>
      <c r="D14" s="161"/>
      <c r="E14" s="161"/>
      <c r="F14" s="161"/>
      <c r="G14" s="161"/>
      <c r="H14" s="161"/>
    </row>
    <row r="15" spans="2:8" ht="12.75" customHeight="1" thickTop="1">
      <c r="B15" s="143" t="s">
        <v>0</v>
      </c>
      <c r="C15" s="139" t="s">
        <v>1</v>
      </c>
      <c r="D15" s="140"/>
      <c r="E15" s="140"/>
      <c r="F15" s="140"/>
      <c r="G15" s="140"/>
      <c r="H15" s="141"/>
    </row>
    <row r="16" spans="2:8" ht="12.75" customHeight="1">
      <c r="B16" s="144"/>
      <c r="C16" s="142" t="s">
        <v>69</v>
      </c>
      <c r="D16" s="137"/>
      <c r="E16" s="137" t="s">
        <v>2</v>
      </c>
      <c r="F16" s="137"/>
      <c r="G16" s="137" t="s">
        <v>3</v>
      </c>
      <c r="H16" s="138"/>
    </row>
    <row r="17" spans="2:8" ht="12.75" customHeight="1" thickBot="1">
      <c r="B17" s="145"/>
      <c r="C17" s="31" t="s">
        <v>4</v>
      </c>
      <c r="D17" s="32" t="s">
        <v>5</v>
      </c>
      <c r="E17" s="32" t="s">
        <v>4</v>
      </c>
      <c r="F17" s="32" t="s">
        <v>5</v>
      </c>
      <c r="G17" s="32" t="s">
        <v>4</v>
      </c>
      <c r="H17" s="33" t="s">
        <v>5</v>
      </c>
    </row>
    <row r="18" spans="2:8" ht="12.75" customHeight="1" thickTop="1">
      <c r="B18" s="37" t="s">
        <v>89</v>
      </c>
      <c r="C18" s="2">
        <v>5</v>
      </c>
      <c r="D18" s="3">
        <v>0.1111111111111111</v>
      </c>
      <c r="E18" s="4">
        <v>40</v>
      </c>
      <c r="F18" s="3">
        <v>0.8888888888888888</v>
      </c>
      <c r="G18" s="52">
        <v>45</v>
      </c>
      <c r="H18" s="53">
        <f>45/178</f>
        <v>0.25280898876404495</v>
      </c>
    </row>
    <row r="19" spans="2:8" ht="12.75" customHeight="1">
      <c r="B19" s="38" t="s">
        <v>90</v>
      </c>
      <c r="C19" s="5">
        <v>3</v>
      </c>
      <c r="D19" s="39">
        <v>0.13043478260869565</v>
      </c>
      <c r="E19" s="40">
        <v>20</v>
      </c>
      <c r="F19" s="39">
        <v>0.8695652173913043</v>
      </c>
      <c r="G19" s="54">
        <v>23</v>
      </c>
      <c r="H19" s="55">
        <f>23/178</f>
        <v>0.12921348314606743</v>
      </c>
    </row>
    <row r="20" spans="2:12" ht="12.75" customHeight="1">
      <c r="B20" s="38" t="s">
        <v>91</v>
      </c>
      <c r="C20" s="5">
        <v>1</v>
      </c>
      <c r="D20" s="39">
        <v>0.023255813953488372</v>
      </c>
      <c r="E20" s="40">
        <v>42</v>
      </c>
      <c r="F20" s="39">
        <v>0.9767441860465115</v>
      </c>
      <c r="G20" s="54">
        <v>43</v>
      </c>
      <c r="H20" s="55">
        <f>43/178</f>
        <v>0.24157303370786518</v>
      </c>
      <c r="J20" s="26"/>
      <c r="K20" s="26"/>
      <c r="L20" s="26"/>
    </row>
    <row r="21" spans="2:26" ht="12.75" customHeight="1">
      <c r="B21" s="38" t="s">
        <v>92</v>
      </c>
      <c r="C21" s="5">
        <v>0</v>
      </c>
      <c r="D21" s="39">
        <v>0</v>
      </c>
      <c r="E21" s="40">
        <v>8</v>
      </c>
      <c r="F21" s="39">
        <v>1</v>
      </c>
      <c r="G21" s="54">
        <v>8</v>
      </c>
      <c r="H21" s="55">
        <f>8/178</f>
        <v>0.0449438202247191</v>
      </c>
      <c r="J21" s="26"/>
      <c r="K21" s="26"/>
      <c r="L21" s="26"/>
      <c r="P21" s="27"/>
      <c r="Q21" s="34"/>
      <c r="R21" s="34"/>
      <c r="S21" s="34"/>
      <c r="T21" s="34"/>
      <c r="U21" s="34"/>
      <c r="V21" s="34"/>
      <c r="W21" s="26"/>
      <c r="X21" s="26"/>
      <c r="Y21" s="26"/>
      <c r="Z21" s="26"/>
    </row>
    <row r="22" spans="2:26" ht="12.75" customHeight="1">
      <c r="B22" s="38" t="s">
        <v>93</v>
      </c>
      <c r="C22" s="5">
        <v>1</v>
      </c>
      <c r="D22" s="39">
        <v>0.022222222222222223</v>
      </c>
      <c r="E22" s="40">
        <v>44</v>
      </c>
      <c r="F22" s="39">
        <v>0.9777777777777777</v>
      </c>
      <c r="G22" s="54">
        <v>45</v>
      </c>
      <c r="H22" s="55">
        <f>45/178</f>
        <v>0.25280898876404495</v>
      </c>
      <c r="J22" s="26"/>
      <c r="K22" s="26"/>
      <c r="L22" s="26"/>
      <c r="P22" s="24"/>
      <c r="Q22" s="19"/>
      <c r="R22" s="20"/>
      <c r="S22" s="19"/>
      <c r="T22" s="20"/>
      <c r="U22" s="19"/>
      <c r="V22" s="20"/>
      <c r="W22" s="26"/>
      <c r="X22" s="26"/>
      <c r="Y22" s="26"/>
      <c r="Z22" s="26"/>
    </row>
    <row r="23" spans="2:26" ht="12.75" customHeight="1">
      <c r="B23" s="38" t="s">
        <v>94</v>
      </c>
      <c r="C23" s="5">
        <v>4</v>
      </c>
      <c r="D23" s="39">
        <v>0.2857142857142857</v>
      </c>
      <c r="E23" s="40">
        <v>10</v>
      </c>
      <c r="F23" s="39">
        <v>0.7142857142857143</v>
      </c>
      <c r="G23" s="54">
        <v>14</v>
      </c>
      <c r="H23" s="55">
        <f>14/178</f>
        <v>0.07865168539325842</v>
      </c>
      <c r="J23" s="26"/>
      <c r="K23" s="26"/>
      <c r="L23" s="26"/>
      <c r="P23" s="24"/>
      <c r="Q23" s="19"/>
      <c r="R23" s="20"/>
      <c r="S23" s="19"/>
      <c r="T23" s="20"/>
      <c r="U23" s="19"/>
      <c r="V23" s="20"/>
      <c r="W23" s="26"/>
      <c r="X23" s="26"/>
      <c r="Y23" s="26"/>
      <c r="Z23" s="26"/>
    </row>
    <row r="24" spans="2:26" ht="12.75" customHeight="1" thickBot="1">
      <c r="B24" s="1" t="s">
        <v>3</v>
      </c>
      <c r="C24" s="6">
        <v>14</v>
      </c>
      <c r="D24" s="7">
        <v>0.07865168539325842</v>
      </c>
      <c r="E24" s="8">
        <v>164</v>
      </c>
      <c r="F24" s="7">
        <v>0.9213483146067416</v>
      </c>
      <c r="G24" s="56">
        <v>178</v>
      </c>
      <c r="H24" s="57">
        <v>1</v>
      </c>
      <c r="J24" s="26"/>
      <c r="K24" s="26"/>
      <c r="L24" s="26"/>
      <c r="P24" s="24"/>
      <c r="Q24" s="19"/>
      <c r="R24" s="20"/>
      <c r="S24" s="19"/>
      <c r="T24" s="20"/>
      <c r="U24" s="19"/>
      <c r="V24" s="20"/>
      <c r="W24" s="26"/>
      <c r="X24" s="26"/>
      <c r="Y24" s="26"/>
      <c r="Z24" s="26"/>
    </row>
    <row r="25" spans="2:26" ht="12.75" customHeight="1" thickTop="1">
      <c r="B25" s="24"/>
      <c r="C25" s="19"/>
      <c r="D25" s="20"/>
      <c r="E25" s="19"/>
      <c r="F25" s="20"/>
      <c r="G25" s="19"/>
      <c r="H25" s="20"/>
      <c r="I25" s="26"/>
      <c r="J25" s="26"/>
      <c r="K25" s="26"/>
      <c r="L25" s="26"/>
      <c r="P25" s="24"/>
      <c r="Q25" s="19"/>
      <c r="R25" s="20"/>
      <c r="S25" s="19"/>
      <c r="T25" s="20"/>
      <c r="U25" s="19"/>
      <c r="V25" s="20"/>
      <c r="W25" s="26"/>
      <c r="X25" s="26"/>
      <c r="Y25" s="26"/>
      <c r="Z25" s="26"/>
    </row>
    <row r="26" spans="2:26" ht="12.75" customHeight="1" thickBot="1">
      <c r="B26" s="161" t="s">
        <v>6</v>
      </c>
      <c r="C26" s="161"/>
      <c r="D26" s="161"/>
      <c r="E26" s="161"/>
      <c r="F26" s="161"/>
      <c r="G26" s="161"/>
      <c r="H26" s="161"/>
      <c r="I26" s="161"/>
      <c r="J26" s="161"/>
      <c r="L26" s="26"/>
      <c r="P26" s="24"/>
      <c r="Q26" s="19"/>
      <c r="R26" s="20"/>
      <c r="S26" s="19"/>
      <c r="T26" s="20"/>
      <c r="U26" s="19"/>
      <c r="V26" s="20"/>
      <c r="W26" s="26"/>
      <c r="X26" s="26"/>
      <c r="Y26" s="26"/>
      <c r="Z26" s="26"/>
    </row>
    <row r="27" spans="2:26" ht="12.75" customHeight="1" thickTop="1">
      <c r="B27" s="143" t="s">
        <v>0</v>
      </c>
      <c r="C27" s="139" t="s">
        <v>6</v>
      </c>
      <c r="D27" s="140"/>
      <c r="E27" s="140"/>
      <c r="F27" s="140"/>
      <c r="G27" s="140"/>
      <c r="H27" s="140"/>
      <c r="I27" s="140"/>
      <c r="J27" s="141"/>
      <c r="L27" s="26"/>
      <c r="P27" s="64"/>
      <c r="Q27" s="65"/>
      <c r="R27" s="66"/>
      <c r="S27" s="65"/>
      <c r="T27" s="66"/>
      <c r="U27" s="67"/>
      <c r="V27" s="26"/>
      <c r="W27" s="26"/>
      <c r="X27" s="26"/>
      <c r="Y27" s="26"/>
      <c r="Z27" s="26"/>
    </row>
    <row r="28" spans="2:26" ht="24.75" customHeight="1">
      <c r="B28" s="144"/>
      <c r="C28" s="142" t="s">
        <v>7</v>
      </c>
      <c r="D28" s="137"/>
      <c r="E28" s="137" t="s">
        <v>8</v>
      </c>
      <c r="F28" s="137"/>
      <c r="G28" s="137" t="s">
        <v>9</v>
      </c>
      <c r="H28" s="137"/>
      <c r="I28" s="137" t="s">
        <v>3</v>
      </c>
      <c r="J28" s="138"/>
      <c r="L28" s="26"/>
      <c r="P28" s="162"/>
      <c r="Q28" s="162"/>
      <c r="R28" s="162"/>
      <c r="S28" s="162"/>
      <c r="T28" s="162"/>
      <c r="U28" s="162"/>
      <c r="V28" s="162"/>
      <c r="W28" s="162"/>
      <c r="X28" s="162"/>
      <c r="Y28" s="26"/>
      <c r="Z28" s="26"/>
    </row>
    <row r="29" spans="2:26" ht="12.75" customHeight="1" thickBot="1">
      <c r="B29" s="145"/>
      <c r="C29" s="31" t="s">
        <v>4</v>
      </c>
      <c r="D29" s="32" t="s">
        <v>5</v>
      </c>
      <c r="E29" s="32" t="s">
        <v>4</v>
      </c>
      <c r="F29" s="32" t="s">
        <v>5</v>
      </c>
      <c r="G29" s="32" t="s">
        <v>4</v>
      </c>
      <c r="H29" s="32" t="s">
        <v>5</v>
      </c>
      <c r="I29" s="32" t="s">
        <v>4</v>
      </c>
      <c r="J29" s="33" t="s">
        <v>5</v>
      </c>
      <c r="L29" s="26"/>
      <c r="P29" s="164"/>
      <c r="Q29" s="163"/>
      <c r="R29" s="163"/>
      <c r="S29" s="163"/>
      <c r="T29" s="163"/>
      <c r="U29" s="163"/>
      <c r="V29" s="163"/>
      <c r="W29" s="163"/>
      <c r="X29" s="163"/>
      <c r="Y29" s="26"/>
      <c r="Z29" s="26"/>
    </row>
    <row r="30" spans="2:26" ht="12.75" customHeight="1" thickTop="1">
      <c r="B30" s="37" t="s">
        <v>89</v>
      </c>
      <c r="C30" s="2">
        <v>40</v>
      </c>
      <c r="D30" s="3">
        <v>0.8888888888888888</v>
      </c>
      <c r="E30" s="4">
        <v>2</v>
      </c>
      <c r="F30" s="3">
        <v>0.044444444444444446</v>
      </c>
      <c r="G30" s="4">
        <v>3</v>
      </c>
      <c r="H30" s="3">
        <v>0.06666666666666667</v>
      </c>
      <c r="I30" s="52">
        <v>45</v>
      </c>
      <c r="J30" s="53">
        <f>45/178</f>
        <v>0.25280898876404495</v>
      </c>
      <c r="L30" s="26"/>
      <c r="P30" s="164"/>
      <c r="Q30" s="163"/>
      <c r="R30" s="163"/>
      <c r="S30" s="163"/>
      <c r="T30" s="163"/>
      <c r="U30" s="163"/>
      <c r="V30" s="163"/>
      <c r="W30" s="163"/>
      <c r="X30" s="163"/>
      <c r="Y30" s="26"/>
      <c r="Z30" s="26"/>
    </row>
    <row r="31" spans="2:26" ht="12.75" customHeight="1">
      <c r="B31" s="38" t="s">
        <v>90</v>
      </c>
      <c r="C31" s="5">
        <v>14</v>
      </c>
      <c r="D31" s="39">
        <v>0.6086956521739131</v>
      </c>
      <c r="E31" s="40">
        <v>8</v>
      </c>
      <c r="F31" s="39">
        <v>0.34782608695652173</v>
      </c>
      <c r="G31" s="40">
        <v>1</v>
      </c>
      <c r="H31" s="39">
        <v>0.043478260869565216</v>
      </c>
      <c r="I31" s="54">
        <v>23</v>
      </c>
      <c r="J31" s="55">
        <f>23/178</f>
        <v>0.12921348314606743</v>
      </c>
      <c r="L31" s="26"/>
      <c r="P31" s="164"/>
      <c r="Q31" s="34"/>
      <c r="R31" s="34"/>
      <c r="S31" s="34"/>
      <c r="T31" s="34"/>
      <c r="U31" s="34"/>
      <c r="V31" s="34"/>
      <c r="W31" s="34"/>
      <c r="X31" s="34"/>
      <c r="Y31" s="26"/>
      <c r="Z31" s="26"/>
    </row>
    <row r="32" spans="2:26" ht="12.75" customHeight="1">
      <c r="B32" s="38" t="s">
        <v>91</v>
      </c>
      <c r="C32" s="5">
        <v>32</v>
      </c>
      <c r="D32" s="39">
        <v>0.7441860465116279</v>
      </c>
      <c r="E32" s="40">
        <v>10</v>
      </c>
      <c r="F32" s="39">
        <v>0.23255813953488372</v>
      </c>
      <c r="G32" s="40">
        <v>1</v>
      </c>
      <c r="H32" s="39">
        <v>0.023255813953488372</v>
      </c>
      <c r="I32" s="54">
        <v>43</v>
      </c>
      <c r="J32" s="55">
        <f>43/178</f>
        <v>0.24157303370786518</v>
      </c>
      <c r="L32" s="26"/>
      <c r="P32" s="24"/>
      <c r="Q32" s="19"/>
      <c r="R32" s="20"/>
      <c r="S32" s="19"/>
      <c r="T32" s="20"/>
      <c r="U32" s="19"/>
      <c r="V32" s="20"/>
      <c r="W32" s="19"/>
      <c r="X32" s="20"/>
      <c r="Y32" s="26"/>
      <c r="Z32" s="26"/>
    </row>
    <row r="33" spans="2:26" ht="12" customHeight="1">
      <c r="B33" s="38" t="s">
        <v>92</v>
      </c>
      <c r="C33" s="5">
        <v>5</v>
      </c>
      <c r="D33" s="39">
        <v>0.625</v>
      </c>
      <c r="E33" s="40">
        <v>0</v>
      </c>
      <c r="F33" s="39">
        <v>0</v>
      </c>
      <c r="G33" s="40">
        <v>3</v>
      </c>
      <c r="H33" s="39">
        <v>0.375</v>
      </c>
      <c r="I33" s="54">
        <v>8</v>
      </c>
      <c r="J33" s="55">
        <f>8/178</f>
        <v>0.0449438202247191</v>
      </c>
      <c r="L33" s="26"/>
      <c r="P33" s="24"/>
      <c r="Q33" s="19"/>
      <c r="R33" s="20"/>
      <c r="S33" s="19"/>
      <c r="T33" s="20"/>
      <c r="U33" s="19"/>
      <c r="V33" s="20"/>
      <c r="W33" s="19"/>
      <c r="X33" s="20"/>
      <c r="Y33" s="26"/>
      <c r="Z33" s="26"/>
    </row>
    <row r="34" spans="2:26" ht="12.75" customHeight="1">
      <c r="B34" s="38" t="s">
        <v>93</v>
      </c>
      <c r="C34" s="5">
        <v>41</v>
      </c>
      <c r="D34" s="39">
        <v>0.9111111111111111</v>
      </c>
      <c r="E34" s="40">
        <v>1</v>
      </c>
      <c r="F34" s="39">
        <v>0.022222222222222223</v>
      </c>
      <c r="G34" s="40">
        <v>3</v>
      </c>
      <c r="H34" s="39">
        <v>0.06666666666666667</v>
      </c>
      <c r="I34" s="54">
        <v>45</v>
      </c>
      <c r="J34" s="55">
        <f>45/178</f>
        <v>0.25280898876404495</v>
      </c>
      <c r="L34" s="26"/>
      <c r="P34" s="24"/>
      <c r="Q34" s="19"/>
      <c r="R34" s="20"/>
      <c r="S34" s="19"/>
      <c r="T34" s="20"/>
      <c r="U34" s="19"/>
      <c r="V34" s="20"/>
      <c r="W34" s="19"/>
      <c r="X34" s="20"/>
      <c r="Y34" s="26"/>
      <c r="Z34" s="26"/>
    </row>
    <row r="35" spans="2:26" ht="12.75" customHeight="1">
      <c r="B35" s="38" t="s">
        <v>94</v>
      </c>
      <c r="C35" s="5">
        <v>13</v>
      </c>
      <c r="D35" s="39">
        <v>0.9285714285714286</v>
      </c>
      <c r="E35" s="40">
        <v>1</v>
      </c>
      <c r="F35" s="39">
        <v>0.07142857142857142</v>
      </c>
      <c r="G35" s="40">
        <v>0</v>
      </c>
      <c r="H35" s="39">
        <v>0</v>
      </c>
      <c r="I35" s="54">
        <v>14</v>
      </c>
      <c r="J35" s="55">
        <f>14/178</f>
        <v>0.07865168539325842</v>
      </c>
      <c r="L35" s="26"/>
      <c r="P35" s="24"/>
      <c r="Q35" s="19"/>
      <c r="R35" s="20"/>
      <c r="S35" s="19"/>
      <c r="T35" s="20"/>
      <c r="U35" s="19"/>
      <c r="V35" s="20"/>
      <c r="W35" s="19"/>
      <c r="X35" s="20"/>
      <c r="Y35" s="26"/>
      <c r="Z35" s="26"/>
    </row>
    <row r="36" spans="2:26" ht="12.75" customHeight="1" thickBot="1">
      <c r="B36" s="1" t="s">
        <v>3</v>
      </c>
      <c r="C36" s="6">
        <v>145</v>
      </c>
      <c r="D36" s="7">
        <v>0.8146067415730337</v>
      </c>
      <c r="E36" s="8">
        <v>22</v>
      </c>
      <c r="F36" s="7">
        <v>0.12359550561797752</v>
      </c>
      <c r="G36" s="8">
        <v>11</v>
      </c>
      <c r="H36" s="7">
        <v>0.06179775280898876</v>
      </c>
      <c r="I36" s="56">
        <v>178</v>
      </c>
      <c r="J36" s="57">
        <v>1</v>
      </c>
      <c r="L36" s="26"/>
      <c r="P36" s="24"/>
      <c r="Q36" s="19"/>
      <c r="R36" s="20"/>
      <c r="S36" s="19"/>
      <c r="T36" s="20"/>
      <c r="U36" s="19"/>
      <c r="V36" s="20"/>
      <c r="W36" s="19"/>
      <c r="X36" s="20"/>
      <c r="Y36" s="26"/>
      <c r="Z36" s="26"/>
    </row>
    <row r="37" spans="2:26" ht="12.75" customHeight="1" thickTop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P37" s="64"/>
      <c r="Q37" s="65"/>
      <c r="R37" s="66"/>
      <c r="S37" s="65"/>
      <c r="T37" s="66"/>
      <c r="U37" s="65"/>
      <c r="V37" s="66"/>
      <c r="W37" s="65"/>
      <c r="X37" s="66"/>
      <c r="Y37" s="67"/>
      <c r="Z37" s="26"/>
    </row>
    <row r="38" spans="2:26" ht="12.75" customHeight="1" thickBot="1">
      <c r="B38" s="161" t="s">
        <v>10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R38" s="66"/>
      <c r="S38" s="65"/>
      <c r="T38" s="66"/>
      <c r="U38" s="65"/>
      <c r="V38" s="66"/>
      <c r="W38" s="65"/>
      <c r="X38" s="66"/>
      <c r="Y38" s="67"/>
      <c r="Z38" s="26"/>
    </row>
    <row r="39" spans="2:26" ht="25.5" customHeight="1" thickTop="1">
      <c r="B39" s="143" t="s">
        <v>0</v>
      </c>
      <c r="C39" s="139" t="s">
        <v>89</v>
      </c>
      <c r="D39" s="140"/>
      <c r="E39" s="140" t="s">
        <v>90</v>
      </c>
      <c r="F39" s="140"/>
      <c r="G39" s="140" t="s">
        <v>91</v>
      </c>
      <c r="H39" s="140"/>
      <c r="I39" s="140" t="s">
        <v>92</v>
      </c>
      <c r="J39" s="140"/>
      <c r="K39" s="140" t="s">
        <v>93</v>
      </c>
      <c r="L39" s="140"/>
      <c r="M39" s="140" t="s">
        <v>94</v>
      </c>
      <c r="N39" s="140"/>
      <c r="O39" s="140" t="s">
        <v>3</v>
      </c>
      <c r="P39" s="141"/>
      <c r="R39" s="66"/>
      <c r="S39" s="65"/>
      <c r="T39" s="66"/>
      <c r="U39" s="65"/>
      <c r="V39" s="66"/>
      <c r="W39" s="65"/>
      <c r="X39" s="66"/>
      <c r="Y39" s="67"/>
      <c r="Z39" s="26"/>
    </row>
    <row r="40" spans="2:26" ht="12.75" customHeight="1" thickBot="1">
      <c r="B40" s="145"/>
      <c r="C40" s="31" t="s">
        <v>4</v>
      </c>
      <c r="D40" s="32" t="s">
        <v>5</v>
      </c>
      <c r="E40" s="32" t="s">
        <v>4</v>
      </c>
      <c r="F40" s="32" t="s">
        <v>5</v>
      </c>
      <c r="G40" s="32" t="s">
        <v>4</v>
      </c>
      <c r="H40" s="32" t="s">
        <v>5</v>
      </c>
      <c r="I40" s="32" t="s">
        <v>4</v>
      </c>
      <c r="J40" s="32" t="s">
        <v>5</v>
      </c>
      <c r="K40" s="32" t="s">
        <v>4</v>
      </c>
      <c r="L40" s="32" t="s">
        <v>5</v>
      </c>
      <c r="M40" s="32" t="s">
        <v>4</v>
      </c>
      <c r="N40" s="32" t="s">
        <v>5</v>
      </c>
      <c r="O40" s="32" t="s">
        <v>4</v>
      </c>
      <c r="P40" s="33" t="s">
        <v>5</v>
      </c>
      <c r="R40" s="66"/>
      <c r="S40" s="65"/>
      <c r="T40" s="66"/>
      <c r="U40" s="65"/>
      <c r="V40" s="66"/>
      <c r="W40" s="65"/>
      <c r="X40" s="66"/>
      <c r="Y40" s="67"/>
      <c r="Z40" s="26"/>
    </row>
    <row r="41" spans="2:26" ht="12.75" customHeight="1" thickTop="1">
      <c r="B41" s="38" t="s">
        <v>95</v>
      </c>
      <c r="C41" s="5">
        <v>2</v>
      </c>
      <c r="D41" s="39">
        <v>0.044444444444444446</v>
      </c>
      <c r="E41" s="40">
        <v>1</v>
      </c>
      <c r="F41" s="39">
        <v>0.043478260869565216</v>
      </c>
      <c r="G41" s="40">
        <v>0</v>
      </c>
      <c r="H41" s="39">
        <v>0</v>
      </c>
      <c r="I41" s="40">
        <v>0</v>
      </c>
      <c r="J41" s="39">
        <v>0</v>
      </c>
      <c r="K41" s="40">
        <v>0</v>
      </c>
      <c r="L41" s="39">
        <v>0</v>
      </c>
      <c r="M41" s="40">
        <v>0</v>
      </c>
      <c r="N41" s="39">
        <v>0</v>
      </c>
      <c r="O41" s="54">
        <v>3</v>
      </c>
      <c r="P41" s="55">
        <v>0.016853932584269662</v>
      </c>
      <c r="R41" s="66"/>
      <c r="S41" s="65"/>
      <c r="T41" s="66"/>
      <c r="U41" s="65"/>
      <c r="V41" s="66"/>
      <c r="W41" s="65"/>
      <c r="X41" s="66"/>
      <c r="Y41" s="67"/>
      <c r="Z41" s="26"/>
    </row>
    <row r="42" spans="2:26" ht="12.75" customHeight="1">
      <c r="B42" s="38" t="s">
        <v>96</v>
      </c>
      <c r="C42" s="5">
        <v>0</v>
      </c>
      <c r="D42" s="39">
        <v>0</v>
      </c>
      <c r="E42" s="40">
        <v>0</v>
      </c>
      <c r="F42" s="39">
        <v>0</v>
      </c>
      <c r="G42" s="40">
        <v>0</v>
      </c>
      <c r="H42" s="39">
        <v>0</v>
      </c>
      <c r="I42" s="40">
        <v>0</v>
      </c>
      <c r="J42" s="39">
        <v>0</v>
      </c>
      <c r="K42" s="40">
        <v>1</v>
      </c>
      <c r="L42" s="39">
        <v>0.022222222222222223</v>
      </c>
      <c r="M42" s="40">
        <v>0</v>
      </c>
      <c r="N42" s="39">
        <v>0</v>
      </c>
      <c r="O42" s="54">
        <v>1</v>
      </c>
      <c r="P42" s="61">
        <v>0.005617977528089888</v>
      </c>
      <c r="R42" s="66"/>
      <c r="S42" s="65"/>
      <c r="T42" s="66"/>
      <c r="U42" s="65"/>
      <c r="V42" s="66"/>
      <c r="W42" s="65"/>
      <c r="X42" s="66"/>
      <c r="Y42" s="67"/>
      <c r="Z42" s="26"/>
    </row>
    <row r="43" spans="2:26" ht="12.75" customHeight="1">
      <c r="B43" s="38" t="s">
        <v>70</v>
      </c>
      <c r="C43" s="5">
        <v>4</v>
      </c>
      <c r="D43" s="39">
        <v>0.08888888888888889</v>
      </c>
      <c r="E43" s="40">
        <v>1</v>
      </c>
      <c r="F43" s="39">
        <v>0.043478260869565216</v>
      </c>
      <c r="G43" s="40">
        <v>2</v>
      </c>
      <c r="H43" s="39">
        <v>0.046511627906976744</v>
      </c>
      <c r="I43" s="40">
        <v>0</v>
      </c>
      <c r="J43" s="39">
        <v>0</v>
      </c>
      <c r="K43" s="40">
        <v>0</v>
      </c>
      <c r="L43" s="39">
        <v>0</v>
      </c>
      <c r="M43" s="40">
        <v>0</v>
      </c>
      <c r="N43" s="39">
        <v>0</v>
      </c>
      <c r="O43" s="54">
        <v>7</v>
      </c>
      <c r="P43" s="55">
        <v>0.03932584269662921</v>
      </c>
      <c r="R43" s="66"/>
      <c r="S43" s="65"/>
      <c r="T43" s="66"/>
      <c r="U43" s="65"/>
      <c r="V43" s="66"/>
      <c r="W43" s="65"/>
      <c r="X43" s="66"/>
      <c r="Y43" s="67"/>
      <c r="Z43" s="26"/>
    </row>
    <row r="44" spans="2:26" ht="12.75" customHeight="1">
      <c r="B44" s="38" t="s">
        <v>97</v>
      </c>
      <c r="C44" s="5">
        <v>0</v>
      </c>
      <c r="D44" s="39">
        <v>0</v>
      </c>
      <c r="E44" s="40">
        <v>0</v>
      </c>
      <c r="F44" s="39">
        <v>0</v>
      </c>
      <c r="G44" s="40">
        <v>0</v>
      </c>
      <c r="H44" s="39">
        <v>0</v>
      </c>
      <c r="I44" s="40">
        <v>0</v>
      </c>
      <c r="J44" s="39">
        <v>0</v>
      </c>
      <c r="K44" s="40">
        <v>1</v>
      </c>
      <c r="L44" s="39">
        <v>0.022222222222222223</v>
      </c>
      <c r="M44" s="40">
        <v>0</v>
      </c>
      <c r="N44" s="39">
        <v>0</v>
      </c>
      <c r="O44" s="54">
        <v>1</v>
      </c>
      <c r="P44" s="61">
        <v>0.005617977528089888</v>
      </c>
      <c r="R44" s="66"/>
      <c r="S44" s="65"/>
      <c r="T44" s="66"/>
      <c r="U44" s="65"/>
      <c r="V44" s="66"/>
      <c r="W44" s="65"/>
      <c r="X44" s="66"/>
      <c r="Y44" s="67"/>
      <c r="Z44" s="26"/>
    </row>
    <row r="45" spans="2:26" ht="12.75" customHeight="1">
      <c r="B45" s="38" t="s">
        <v>98</v>
      </c>
      <c r="C45" s="5">
        <v>0</v>
      </c>
      <c r="D45" s="39">
        <v>0</v>
      </c>
      <c r="E45" s="40">
        <v>0</v>
      </c>
      <c r="F45" s="39">
        <v>0</v>
      </c>
      <c r="G45" s="40">
        <v>0</v>
      </c>
      <c r="H45" s="39">
        <v>0</v>
      </c>
      <c r="I45" s="40">
        <v>0</v>
      </c>
      <c r="J45" s="39">
        <v>0</v>
      </c>
      <c r="K45" s="40">
        <v>1</v>
      </c>
      <c r="L45" s="39">
        <v>0.022222222222222223</v>
      </c>
      <c r="M45" s="40">
        <v>0</v>
      </c>
      <c r="N45" s="39">
        <v>0</v>
      </c>
      <c r="O45" s="54">
        <v>1</v>
      </c>
      <c r="P45" s="61">
        <v>0.005617977528089888</v>
      </c>
      <c r="R45" s="66"/>
      <c r="S45" s="65"/>
      <c r="T45" s="66"/>
      <c r="U45" s="65"/>
      <c r="V45" s="66"/>
      <c r="W45" s="65"/>
      <c r="X45" s="66"/>
      <c r="Y45" s="67"/>
      <c r="Z45" s="26"/>
    </row>
    <row r="46" spans="2:26" ht="12.75" customHeight="1">
      <c r="B46" s="38" t="s">
        <v>99</v>
      </c>
      <c r="C46" s="5">
        <v>1</v>
      </c>
      <c r="D46" s="39">
        <v>0.022222222222222223</v>
      </c>
      <c r="E46" s="40">
        <v>0</v>
      </c>
      <c r="F46" s="39">
        <v>0</v>
      </c>
      <c r="G46" s="40">
        <v>0</v>
      </c>
      <c r="H46" s="39">
        <v>0</v>
      </c>
      <c r="I46" s="40">
        <v>0</v>
      </c>
      <c r="J46" s="39">
        <v>0</v>
      </c>
      <c r="K46" s="40">
        <v>0</v>
      </c>
      <c r="L46" s="39">
        <v>0</v>
      </c>
      <c r="M46" s="40">
        <v>0</v>
      </c>
      <c r="N46" s="39">
        <v>0</v>
      </c>
      <c r="O46" s="54">
        <v>1</v>
      </c>
      <c r="P46" s="61">
        <v>0.005617977528089888</v>
      </c>
      <c r="R46" s="66"/>
      <c r="S46" s="65"/>
      <c r="T46" s="66"/>
      <c r="U46" s="65"/>
      <c r="V46" s="66"/>
      <c r="W46" s="65"/>
      <c r="X46" s="66"/>
      <c r="Y46" s="67"/>
      <c r="Z46" s="26"/>
    </row>
    <row r="47" spans="2:26" ht="12.75" customHeight="1">
      <c r="B47" s="38" t="s">
        <v>100</v>
      </c>
      <c r="C47" s="5">
        <v>0</v>
      </c>
      <c r="D47" s="39">
        <v>0</v>
      </c>
      <c r="E47" s="40">
        <v>0</v>
      </c>
      <c r="F47" s="39">
        <v>0</v>
      </c>
      <c r="G47" s="40">
        <v>0</v>
      </c>
      <c r="H47" s="39">
        <v>0</v>
      </c>
      <c r="I47" s="40">
        <v>0</v>
      </c>
      <c r="J47" s="39">
        <v>0</v>
      </c>
      <c r="K47" s="40">
        <v>0</v>
      </c>
      <c r="L47" s="39">
        <v>0</v>
      </c>
      <c r="M47" s="40">
        <v>1</v>
      </c>
      <c r="N47" s="39">
        <v>0.07142857142857142</v>
      </c>
      <c r="O47" s="54">
        <v>1</v>
      </c>
      <c r="P47" s="61">
        <v>0.005617977528089888</v>
      </c>
      <c r="R47" s="66"/>
      <c r="S47" s="65"/>
      <c r="T47" s="66"/>
      <c r="U47" s="65"/>
      <c r="V47" s="66"/>
      <c r="W47" s="65"/>
      <c r="X47" s="66"/>
      <c r="Y47" s="67"/>
      <c r="Z47" s="26"/>
    </row>
    <row r="48" spans="2:26" ht="12.75" customHeight="1">
      <c r="B48" s="38" t="s">
        <v>71</v>
      </c>
      <c r="C48" s="5">
        <v>0</v>
      </c>
      <c r="D48" s="39">
        <v>0</v>
      </c>
      <c r="E48" s="40">
        <v>0</v>
      </c>
      <c r="F48" s="39">
        <v>0</v>
      </c>
      <c r="G48" s="40">
        <v>0</v>
      </c>
      <c r="H48" s="39">
        <v>0</v>
      </c>
      <c r="I48" s="40">
        <v>0</v>
      </c>
      <c r="J48" s="39">
        <v>0</v>
      </c>
      <c r="K48" s="40">
        <v>1</v>
      </c>
      <c r="L48" s="39">
        <v>0.022222222222222223</v>
      </c>
      <c r="M48" s="40">
        <v>0</v>
      </c>
      <c r="N48" s="39">
        <v>0</v>
      </c>
      <c r="O48" s="54">
        <v>1</v>
      </c>
      <c r="P48" s="61">
        <v>0.005617977528089888</v>
      </c>
      <c r="R48" s="66"/>
      <c r="S48" s="65"/>
      <c r="T48" s="66"/>
      <c r="U48" s="65"/>
      <c r="V48" s="66"/>
      <c r="W48" s="65"/>
      <c r="X48" s="66"/>
      <c r="Y48" s="67"/>
      <c r="Z48" s="26"/>
    </row>
    <row r="49" spans="2:26" ht="12.75" customHeight="1">
      <c r="B49" s="38" t="s">
        <v>72</v>
      </c>
      <c r="C49" s="5">
        <v>0</v>
      </c>
      <c r="D49" s="39">
        <v>0</v>
      </c>
      <c r="E49" s="40">
        <v>0</v>
      </c>
      <c r="F49" s="39">
        <v>0</v>
      </c>
      <c r="G49" s="40">
        <v>0</v>
      </c>
      <c r="H49" s="39">
        <v>0</v>
      </c>
      <c r="I49" s="40">
        <v>1</v>
      </c>
      <c r="J49" s="39">
        <v>0.125</v>
      </c>
      <c r="K49" s="40">
        <v>0</v>
      </c>
      <c r="L49" s="39">
        <v>0</v>
      </c>
      <c r="M49" s="40">
        <v>0</v>
      </c>
      <c r="N49" s="39">
        <v>0</v>
      </c>
      <c r="O49" s="54">
        <v>1</v>
      </c>
      <c r="P49" s="61">
        <v>0.005617977528089888</v>
      </c>
      <c r="R49" s="66"/>
      <c r="S49" s="65"/>
      <c r="T49" s="66"/>
      <c r="U49" s="65"/>
      <c r="V49" s="66"/>
      <c r="W49" s="65"/>
      <c r="X49" s="66"/>
      <c r="Y49" s="67"/>
      <c r="Z49" s="26"/>
    </row>
    <row r="50" spans="2:26" ht="12.75" customHeight="1">
      <c r="B50" s="38" t="s">
        <v>101</v>
      </c>
      <c r="C50" s="5">
        <v>0</v>
      </c>
      <c r="D50" s="39">
        <v>0</v>
      </c>
      <c r="E50" s="40">
        <v>1</v>
      </c>
      <c r="F50" s="39">
        <v>0.043478260869565216</v>
      </c>
      <c r="G50" s="40">
        <v>0</v>
      </c>
      <c r="H50" s="39">
        <v>0</v>
      </c>
      <c r="I50" s="40">
        <v>0</v>
      </c>
      <c r="J50" s="39">
        <v>0</v>
      </c>
      <c r="K50" s="40">
        <v>0</v>
      </c>
      <c r="L50" s="39">
        <v>0</v>
      </c>
      <c r="M50" s="40">
        <v>0</v>
      </c>
      <c r="N50" s="39">
        <v>0</v>
      </c>
      <c r="O50" s="54">
        <v>1</v>
      </c>
      <c r="P50" s="61">
        <v>0.005617977528089888</v>
      </c>
      <c r="R50" s="66"/>
      <c r="S50" s="65"/>
      <c r="T50" s="66"/>
      <c r="U50" s="65"/>
      <c r="V50" s="66"/>
      <c r="W50" s="65"/>
      <c r="X50" s="66"/>
      <c r="Y50" s="67"/>
      <c r="Z50" s="26"/>
    </row>
    <row r="51" spans="2:26" ht="12.75" customHeight="1">
      <c r="B51" s="38" t="s">
        <v>102</v>
      </c>
      <c r="C51" s="5">
        <v>0</v>
      </c>
      <c r="D51" s="39">
        <v>0</v>
      </c>
      <c r="E51" s="40">
        <v>0</v>
      </c>
      <c r="F51" s="39">
        <v>0</v>
      </c>
      <c r="G51" s="40">
        <v>0</v>
      </c>
      <c r="H51" s="39">
        <v>0</v>
      </c>
      <c r="I51" s="40">
        <v>0</v>
      </c>
      <c r="J51" s="39">
        <v>0</v>
      </c>
      <c r="K51" s="40">
        <v>1</v>
      </c>
      <c r="L51" s="39">
        <v>0.022222222222222223</v>
      </c>
      <c r="M51" s="40">
        <v>0</v>
      </c>
      <c r="N51" s="39">
        <v>0</v>
      </c>
      <c r="O51" s="54">
        <v>1</v>
      </c>
      <c r="P51" s="61">
        <v>0.005617977528089888</v>
      </c>
      <c r="R51" s="66"/>
      <c r="S51" s="65"/>
      <c r="T51" s="66"/>
      <c r="U51" s="65"/>
      <c r="V51" s="66"/>
      <c r="W51" s="65"/>
      <c r="X51" s="66"/>
      <c r="Y51" s="67"/>
      <c r="Z51" s="26"/>
    </row>
    <row r="52" spans="2:26" ht="12.75" customHeight="1">
      <c r="B52" s="38" t="s">
        <v>103</v>
      </c>
      <c r="C52" s="5">
        <v>1</v>
      </c>
      <c r="D52" s="39">
        <v>0.022222222222222223</v>
      </c>
      <c r="E52" s="40">
        <v>0</v>
      </c>
      <c r="F52" s="39">
        <v>0</v>
      </c>
      <c r="G52" s="40">
        <v>0</v>
      </c>
      <c r="H52" s="39">
        <v>0</v>
      </c>
      <c r="I52" s="40">
        <v>0</v>
      </c>
      <c r="J52" s="39">
        <v>0</v>
      </c>
      <c r="K52" s="40">
        <v>0</v>
      </c>
      <c r="L52" s="39">
        <v>0</v>
      </c>
      <c r="M52" s="40">
        <v>0</v>
      </c>
      <c r="N52" s="39">
        <v>0</v>
      </c>
      <c r="O52" s="54">
        <v>1</v>
      </c>
      <c r="P52" s="61">
        <v>0.005617977528089888</v>
      </c>
      <c r="R52" s="66"/>
      <c r="S52" s="65"/>
      <c r="T52" s="66"/>
      <c r="U52" s="65"/>
      <c r="V52" s="66"/>
      <c r="W52" s="65"/>
      <c r="X52" s="66"/>
      <c r="Y52" s="67"/>
      <c r="Z52" s="26"/>
    </row>
    <row r="53" spans="2:26" ht="12.75" customHeight="1">
      <c r="B53" s="38" t="s">
        <v>104</v>
      </c>
      <c r="C53" s="5">
        <v>0</v>
      </c>
      <c r="D53" s="39">
        <v>0</v>
      </c>
      <c r="E53" s="40">
        <v>0</v>
      </c>
      <c r="F53" s="39">
        <v>0</v>
      </c>
      <c r="G53" s="40">
        <v>0</v>
      </c>
      <c r="H53" s="39">
        <v>0</v>
      </c>
      <c r="I53" s="40">
        <v>0</v>
      </c>
      <c r="J53" s="39">
        <v>0</v>
      </c>
      <c r="K53" s="40">
        <v>1</v>
      </c>
      <c r="L53" s="39">
        <v>0.022222222222222223</v>
      </c>
      <c r="M53" s="40">
        <v>0</v>
      </c>
      <c r="N53" s="39">
        <v>0</v>
      </c>
      <c r="O53" s="54">
        <v>1</v>
      </c>
      <c r="P53" s="61">
        <v>0.005617977528089888</v>
      </c>
      <c r="R53" s="66"/>
      <c r="S53" s="65"/>
      <c r="T53" s="66"/>
      <c r="U53" s="65"/>
      <c r="V53" s="66"/>
      <c r="W53" s="65"/>
      <c r="X53" s="66"/>
      <c r="Y53" s="67"/>
      <c r="Z53" s="26"/>
    </row>
    <row r="54" spans="2:26" ht="12.75" customHeight="1">
      <c r="B54" s="38" t="s">
        <v>73</v>
      </c>
      <c r="C54" s="5">
        <v>0</v>
      </c>
      <c r="D54" s="39">
        <v>0</v>
      </c>
      <c r="E54" s="40">
        <v>0</v>
      </c>
      <c r="F54" s="39">
        <v>0</v>
      </c>
      <c r="G54" s="40">
        <v>0</v>
      </c>
      <c r="H54" s="39">
        <v>0</v>
      </c>
      <c r="I54" s="40">
        <v>0</v>
      </c>
      <c r="J54" s="39">
        <v>0</v>
      </c>
      <c r="K54" s="40">
        <v>1</v>
      </c>
      <c r="L54" s="39">
        <v>0.022222222222222223</v>
      </c>
      <c r="M54" s="40">
        <v>0</v>
      </c>
      <c r="N54" s="39">
        <v>0</v>
      </c>
      <c r="O54" s="54">
        <v>1</v>
      </c>
      <c r="P54" s="61">
        <v>0.005617977528089888</v>
      </c>
      <c r="R54" s="66"/>
      <c r="S54" s="65"/>
      <c r="T54" s="66"/>
      <c r="U54" s="65"/>
      <c r="V54" s="66"/>
      <c r="W54" s="65"/>
      <c r="X54" s="66"/>
      <c r="Y54" s="67"/>
      <c r="Z54" s="26"/>
    </row>
    <row r="55" spans="2:26" ht="12.75" customHeight="1">
      <c r="B55" s="38" t="s">
        <v>105</v>
      </c>
      <c r="C55" s="5">
        <v>0</v>
      </c>
      <c r="D55" s="39">
        <v>0</v>
      </c>
      <c r="E55" s="40">
        <v>1</v>
      </c>
      <c r="F55" s="39">
        <v>0.043478260869565216</v>
      </c>
      <c r="G55" s="40">
        <v>0</v>
      </c>
      <c r="H55" s="39">
        <v>0</v>
      </c>
      <c r="I55" s="40">
        <v>0</v>
      </c>
      <c r="J55" s="39">
        <v>0</v>
      </c>
      <c r="K55" s="40">
        <v>0</v>
      </c>
      <c r="L55" s="39">
        <v>0</v>
      </c>
      <c r="M55" s="40">
        <v>0</v>
      </c>
      <c r="N55" s="39">
        <v>0</v>
      </c>
      <c r="O55" s="54">
        <v>1</v>
      </c>
      <c r="P55" s="61">
        <v>0.005617977528089888</v>
      </c>
      <c r="R55" s="66"/>
      <c r="S55" s="65"/>
      <c r="T55" s="66"/>
      <c r="U55" s="65"/>
      <c r="V55" s="66"/>
      <c r="W55" s="65"/>
      <c r="X55" s="66"/>
      <c r="Y55" s="67"/>
      <c r="Z55" s="26"/>
    </row>
    <row r="56" spans="2:26" ht="12.75" customHeight="1">
      <c r="B56" s="38" t="s">
        <v>106</v>
      </c>
      <c r="C56" s="5">
        <v>0</v>
      </c>
      <c r="D56" s="39">
        <v>0</v>
      </c>
      <c r="E56" s="40">
        <v>0</v>
      </c>
      <c r="F56" s="39">
        <v>0</v>
      </c>
      <c r="G56" s="40">
        <v>0</v>
      </c>
      <c r="H56" s="39">
        <v>0</v>
      </c>
      <c r="I56" s="40">
        <v>0</v>
      </c>
      <c r="J56" s="39">
        <v>0</v>
      </c>
      <c r="K56" s="40">
        <v>1</v>
      </c>
      <c r="L56" s="39">
        <v>0.022222222222222223</v>
      </c>
      <c r="M56" s="40">
        <v>0</v>
      </c>
      <c r="N56" s="39">
        <v>0</v>
      </c>
      <c r="O56" s="54">
        <v>1</v>
      </c>
      <c r="P56" s="61">
        <v>0.005617977528089888</v>
      </c>
      <c r="R56" s="66"/>
      <c r="S56" s="65"/>
      <c r="T56" s="66"/>
      <c r="U56" s="65"/>
      <c r="V56" s="66"/>
      <c r="W56" s="65"/>
      <c r="X56" s="66"/>
      <c r="Y56" s="67"/>
      <c r="Z56" s="26"/>
    </row>
    <row r="57" spans="2:26" ht="12.75" customHeight="1">
      <c r="B57" s="38" t="s">
        <v>107</v>
      </c>
      <c r="C57" s="5">
        <v>0</v>
      </c>
      <c r="D57" s="39">
        <v>0</v>
      </c>
      <c r="E57" s="40">
        <v>0</v>
      </c>
      <c r="F57" s="39">
        <v>0</v>
      </c>
      <c r="G57" s="40">
        <v>1</v>
      </c>
      <c r="H57" s="39">
        <v>0.023255813953488372</v>
      </c>
      <c r="I57" s="40">
        <v>0</v>
      </c>
      <c r="J57" s="39">
        <v>0</v>
      </c>
      <c r="K57" s="40">
        <v>0</v>
      </c>
      <c r="L57" s="39">
        <v>0</v>
      </c>
      <c r="M57" s="40">
        <v>1</v>
      </c>
      <c r="N57" s="39">
        <v>0.07142857142857142</v>
      </c>
      <c r="O57" s="54">
        <v>2</v>
      </c>
      <c r="P57" s="55">
        <v>0.011235955056179777</v>
      </c>
      <c r="R57" s="66"/>
      <c r="S57" s="65"/>
      <c r="T57" s="66"/>
      <c r="U57" s="65"/>
      <c r="V57" s="66"/>
      <c r="W57" s="65"/>
      <c r="X57" s="66"/>
      <c r="Y57" s="67"/>
      <c r="Z57" s="26"/>
    </row>
    <row r="58" spans="2:26" ht="12.75" customHeight="1">
      <c r="B58" s="38" t="s">
        <v>108</v>
      </c>
      <c r="C58" s="5">
        <v>0</v>
      </c>
      <c r="D58" s="39">
        <v>0</v>
      </c>
      <c r="E58" s="40">
        <v>0</v>
      </c>
      <c r="F58" s="39">
        <v>0</v>
      </c>
      <c r="G58" s="40">
        <v>1</v>
      </c>
      <c r="H58" s="39">
        <v>0.023255813953488372</v>
      </c>
      <c r="I58" s="40">
        <v>0</v>
      </c>
      <c r="J58" s="39">
        <v>0</v>
      </c>
      <c r="K58" s="40">
        <v>0</v>
      </c>
      <c r="L58" s="39">
        <v>0</v>
      </c>
      <c r="M58" s="40">
        <v>0</v>
      </c>
      <c r="N58" s="39">
        <v>0</v>
      </c>
      <c r="O58" s="54">
        <v>1</v>
      </c>
      <c r="P58" s="61">
        <v>0.005617977528089888</v>
      </c>
      <c r="R58" s="66"/>
      <c r="S58" s="65"/>
      <c r="T58" s="66"/>
      <c r="U58" s="65"/>
      <c r="V58" s="66"/>
      <c r="W58" s="65"/>
      <c r="X58" s="66"/>
      <c r="Y58" s="67"/>
      <c r="Z58" s="26"/>
    </row>
    <row r="59" spans="2:26" ht="12.75" customHeight="1">
      <c r="B59" s="38" t="s">
        <v>109</v>
      </c>
      <c r="C59" s="5">
        <v>0</v>
      </c>
      <c r="D59" s="39">
        <v>0</v>
      </c>
      <c r="E59" s="40">
        <v>0</v>
      </c>
      <c r="F59" s="39">
        <v>0</v>
      </c>
      <c r="G59" s="40">
        <v>1</v>
      </c>
      <c r="H59" s="39">
        <v>0.023255813953488372</v>
      </c>
      <c r="I59" s="40">
        <v>0</v>
      </c>
      <c r="J59" s="39">
        <v>0</v>
      </c>
      <c r="K59" s="40">
        <v>0</v>
      </c>
      <c r="L59" s="39">
        <v>0</v>
      </c>
      <c r="M59" s="40">
        <v>0</v>
      </c>
      <c r="N59" s="39">
        <v>0</v>
      </c>
      <c r="O59" s="54">
        <v>1</v>
      </c>
      <c r="P59" s="61">
        <v>0.005617977528089888</v>
      </c>
      <c r="R59" s="66"/>
      <c r="S59" s="65"/>
      <c r="T59" s="66"/>
      <c r="U59" s="65"/>
      <c r="V59" s="66"/>
      <c r="W59" s="65"/>
      <c r="X59" s="66"/>
      <c r="Y59" s="67"/>
      <c r="Z59" s="26"/>
    </row>
    <row r="60" spans="2:26" ht="12.75" customHeight="1">
      <c r="B60" s="38" t="s">
        <v>110</v>
      </c>
      <c r="C60" s="5">
        <v>0</v>
      </c>
      <c r="D60" s="39">
        <v>0</v>
      </c>
      <c r="E60" s="40">
        <v>0</v>
      </c>
      <c r="F60" s="39">
        <v>0</v>
      </c>
      <c r="G60" s="40">
        <v>1</v>
      </c>
      <c r="H60" s="39">
        <v>0.023255813953488372</v>
      </c>
      <c r="I60" s="40">
        <v>0</v>
      </c>
      <c r="J60" s="39">
        <v>0</v>
      </c>
      <c r="K60" s="40">
        <v>0</v>
      </c>
      <c r="L60" s="39">
        <v>0</v>
      </c>
      <c r="M60" s="40">
        <v>0</v>
      </c>
      <c r="N60" s="39">
        <v>0</v>
      </c>
      <c r="O60" s="54">
        <v>1</v>
      </c>
      <c r="P60" s="61">
        <v>0.005617977528089888</v>
      </c>
      <c r="R60" s="66"/>
      <c r="S60" s="65"/>
      <c r="T60" s="66"/>
      <c r="U60" s="65"/>
      <c r="V60" s="66"/>
      <c r="W60" s="65"/>
      <c r="X60" s="66"/>
      <c r="Y60" s="67"/>
      <c r="Z60" s="26"/>
    </row>
    <row r="61" spans="2:26" ht="12.75" customHeight="1">
      <c r="B61" s="38" t="s">
        <v>111</v>
      </c>
      <c r="C61" s="5">
        <v>1</v>
      </c>
      <c r="D61" s="39">
        <v>0.022222222222222223</v>
      </c>
      <c r="E61" s="40">
        <v>0</v>
      </c>
      <c r="F61" s="39">
        <v>0</v>
      </c>
      <c r="G61" s="40">
        <v>0</v>
      </c>
      <c r="H61" s="39">
        <v>0</v>
      </c>
      <c r="I61" s="40">
        <v>0</v>
      </c>
      <c r="J61" s="39">
        <v>0</v>
      </c>
      <c r="K61" s="40">
        <v>0</v>
      </c>
      <c r="L61" s="39">
        <v>0</v>
      </c>
      <c r="M61" s="40">
        <v>0</v>
      </c>
      <c r="N61" s="39">
        <v>0</v>
      </c>
      <c r="O61" s="54">
        <v>1</v>
      </c>
      <c r="P61" s="61">
        <v>0.005617977528089888</v>
      </c>
      <c r="R61" s="66"/>
      <c r="S61" s="65"/>
      <c r="T61" s="66"/>
      <c r="U61" s="65"/>
      <c r="V61" s="66"/>
      <c r="W61" s="65"/>
      <c r="X61" s="66"/>
      <c r="Y61" s="67"/>
      <c r="Z61" s="26"/>
    </row>
    <row r="62" spans="2:26" ht="12.75" customHeight="1">
      <c r="B62" s="38" t="s">
        <v>112</v>
      </c>
      <c r="C62" s="5">
        <v>0</v>
      </c>
      <c r="D62" s="39">
        <v>0</v>
      </c>
      <c r="E62" s="40">
        <v>1</v>
      </c>
      <c r="F62" s="39">
        <v>0.043478260869565216</v>
      </c>
      <c r="G62" s="40">
        <v>0</v>
      </c>
      <c r="H62" s="39">
        <v>0</v>
      </c>
      <c r="I62" s="40">
        <v>0</v>
      </c>
      <c r="J62" s="39">
        <v>0</v>
      </c>
      <c r="K62" s="40">
        <v>0</v>
      </c>
      <c r="L62" s="39">
        <v>0</v>
      </c>
      <c r="M62" s="40">
        <v>0</v>
      </c>
      <c r="N62" s="39">
        <v>0</v>
      </c>
      <c r="O62" s="54">
        <v>1</v>
      </c>
      <c r="P62" s="61">
        <v>0.005617977528089888</v>
      </c>
      <c r="R62" s="66"/>
      <c r="S62" s="65"/>
      <c r="T62" s="66"/>
      <c r="U62" s="65"/>
      <c r="V62" s="66"/>
      <c r="W62" s="65"/>
      <c r="X62" s="66"/>
      <c r="Y62" s="67"/>
      <c r="Z62" s="26"/>
    </row>
    <row r="63" spans="2:26" ht="12.75" customHeight="1">
      <c r="B63" s="38" t="s">
        <v>113</v>
      </c>
      <c r="C63" s="5">
        <v>1</v>
      </c>
      <c r="D63" s="39">
        <v>0.022222222222222223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  <c r="J63" s="39">
        <v>0</v>
      </c>
      <c r="K63" s="40">
        <v>0</v>
      </c>
      <c r="L63" s="39">
        <v>0</v>
      </c>
      <c r="M63" s="40">
        <v>0</v>
      </c>
      <c r="N63" s="39">
        <v>0</v>
      </c>
      <c r="O63" s="54">
        <v>1</v>
      </c>
      <c r="P63" s="61">
        <v>0.005617977528089888</v>
      </c>
      <c r="R63" s="66"/>
      <c r="S63" s="65"/>
      <c r="T63" s="66"/>
      <c r="U63" s="65"/>
      <c r="V63" s="66"/>
      <c r="W63" s="65"/>
      <c r="X63" s="66"/>
      <c r="Y63" s="67"/>
      <c r="Z63" s="26"/>
    </row>
    <row r="64" spans="2:26" ht="12.75" customHeight="1">
      <c r="B64" s="38" t="s">
        <v>114</v>
      </c>
      <c r="C64" s="5">
        <v>0</v>
      </c>
      <c r="D64" s="39">
        <v>0</v>
      </c>
      <c r="E64" s="40">
        <v>0</v>
      </c>
      <c r="F64" s="39">
        <v>0</v>
      </c>
      <c r="G64" s="40">
        <v>0</v>
      </c>
      <c r="H64" s="39">
        <v>0</v>
      </c>
      <c r="I64" s="40">
        <v>0</v>
      </c>
      <c r="J64" s="39">
        <v>0</v>
      </c>
      <c r="K64" s="40">
        <v>1</v>
      </c>
      <c r="L64" s="39">
        <v>0.022222222222222223</v>
      </c>
      <c r="M64" s="40">
        <v>0</v>
      </c>
      <c r="N64" s="39">
        <v>0</v>
      </c>
      <c r="O64" s="54">
        <v>1</v>
      </c>
      <c r="P64" s="61">
        <v>0.005617977528089888</v>
      </c>
      <c r="R64" s="66"/>
      <c r="S64" s="65"/>
      <c r="T64" s="66"/>
      <c r="U64" s="65"/>
      <c r="V64" s="66"/>
      <c r="W64" s="65"/>
      <c r="X64" s="66"/>
      <c r="Y64" s="67"/>
      <c r="Z64" s="26"/>
    </row>
    <row r="65" spans="2:26" ht="12.75" customHeight="1">
      <c r="B65" s="38" t="s">
        <v>115</v>
      </c>
      <c r="C65" s="5">
        <v>0</v>
      </c>
      <c r="D65" s="39">
        <v>0</v>
      </c>
      <c r="E65" s="40">
        <v>1</v>
      </c>
      <c r="F65" s="39">
        <v>0.043478260869565216</v>
      </c>
      <c r="G65" s="40">
        <v>0</v>
      </c>
      <c r="H65" s="39">
        <v>0</v>
      </c>
      <c r="I65" s="40">
        <v>0</v>
      </c>
      <c r="J65" s="39">
        <v>0</v>
      </c>
      <c r="K65" s="40">
        <v>1</v>
      </c>
      <c r="L65" s="39">
        <v>0.022222222222222223</v>
      </c>
      <c r="M65" s="40">
        <v>0</v>
      </c>
      <c r="N65" s="39">
        <v>0</v>
      </c>
      <c r="O65" s="54">
        <v>2</v>
      </c>
      <c r="P65" s="55">
        <v>0.011235955056179777</v>
      </c>
      <c r="R65" s="66"/>
      <c r="S65" s="65"/>
      <c r="T65" s="66"/>
      <c r="U65" s="65"/>
      <c r="V65" s="66"/>
      <c r="W65" s="65"/>
      <c r="X65" s="66"/>
      <c r="Y65" s="67"/>
      <c r="Z65" s="26"/>
    </row>
    <row r="66" spans="2:26" ht="12.75" customHeight="1">
      <c r="B66" s="38" t="s">
        <v>116</v>
      </c>
      <c r="C66" s="5">
        <v>0</v>
      </c>
      <c r="D66" s="39">
        <v>0</v>
      </c>
      <c r="E66" s="40">
        <v>0</v>
      </c>
      <c r="F66" s="39">
        <v>0</v>
      </c>
      <c r="G66" s="40">
        <v>0</v>
      </c>
      <c r="H66" s="39">
        <v>0</v>
      </c>
      <c r="I66" s="40">
        <v>0</v>
      </c>
      <c r="J66" s="39">
        <v>0</v>
      </c>
      <c r="K66" s="40">
        <v>1</v>
      </c>
      <c r="L66" s="39">
        <v>0.022222222222222223</v>
      </c>
      <c r="M66" s="40">
        <v>0</v>
      </c>
      <c r="N66" s="39">
        <v>0</v>
      </c>
      <c r="O66" s="54">
        <v>1</v>
      </c>
      <c r="P66" s="61">
        <v>0.005617977528089888</v>
      </c>
      <c r="R66" s="66"/>
      <c r="S66" s="65"/>
      <c r="T66" s="66"/>
      <c r="U66" s="65"/>
      <c r="V66" s="66"/>
      <c r="W66" s="65"/>
      <c r="X66" s="66"/>
      <c r="Y66" s="67"/>
      <c r="Z66" s="26"/>
    </row>
    <row r="67" spans="2:26" ht="12.75" customHeight="1">
      <c r="B67" s="38" t="s">
        <v>117</v>
      </c>
      <c r="C67" s="5">
        <v>0</v>
      </c>
      <c r="D67" s="39">
        <v>0</v>
      </c>
      <c r="E67" s="40">
        <v>0</v>
      </c>
      <c r="F67" s="39">
        <v>0</v>
      </c>
      <c r="G67" s="40">
        <v>1</v>
      </c>
      <c r="H67" s="39">
        <v>0.023255813953488372</v>
      </c>
      <c r="I67" s="40">
        <v>0</v>
      </c>
      <c r="J67" s="39">
        <v>0</v>
      </c>
      <c r="K67" s="40">
        <v>0</v>
      </c>
      <c r="L67" s="39">
        <v>0</v>
      </c>
      <c r="M67" s="40">
        <v>0</v>
      </c>
      <c r="N67" s="39">
        <v>0</v>
      </c>
      <c r="O67" s="54">
        <v>1</v>
      </c>
      <c r="P67" s="61">
        <v>0.005617977528089888</v>
      </c>
      <c r="R67" s="66"/>
      <c r="S67" s="65"/>
      <c r="T67" s="66"/>
      <c r="U67" s="65"/>
      <c r="V67" s="66"/>
      <c r="W67" s="65"/>
      <c r="X67" s="66"/>
      <c r="Y67" s="67"/>
      <c r="Z67" s="26"/>
    </row>
    <row r="68" spans="2:26" ht="12.75" customHeight="1">
      <c r="B68" s="38" t="s">
        <v>74</v>
      </c>
      <c r="C68" s="5">
        <v>0</v>
      </c>
      <c r="D68" s="39">
        <v>0</v>
      </c>
      <c r="E68" s="40">
        <v>1</v>
      </c>
      <c r="F68" s="39">
        <v>0.043478260869565216</v>
      </c>
      <c r="G68" s="40">
        <v>0</v>
      </c>
      <c r="H68" s="39">
        <v>0</v>
      </c>
      <c r="I68" s="40">
        <v>0</v>
      </c>
      <c r="J68" s="39">
        <v>0</v>
      </c>
      <c r="K68" s="40">
        <v>1</v>
      </c>
      <c r="L68" s="39">
        <v>0.022222222222222223</v>
      </c>
      <c r="M68" s="40">
        <v>0</v>
      </c>
      <c r="N68" s="39">
        <v>0</v>
      </c>
      <c r="O68" s="54">
        <v>2</v>
      </c>
      <c r="P68" s="55">
        <v>0.011235955056179777</v>
      </c>
      <c r="R68" s="66"/>
      <c r="S68" s="65"/>
      <c r="T68" s="66"/>
      <c r="U68" s="65"/>
      <c r="V68" s="66"/>
      <c r="W68" s="65"/>
      <c r="X68" s="66"/>
      <c r="Y68" s="67"/>
      <c r="Z68" s="26"/>
    </row>
    <row r="69" spans="2:26" ht="12.75" customHeight="1">
      <c r="B69" s="38" t="s">
        <v>118</v>
      </c>
      <c r="C69" s="5">
        <v>0</v>
      </c>
      <c r="D69" s="39">
        <v>0</v>
      </c>
      <c r="E69" s="40">
        <v>0</v>
      </c>
      <c r="F69" s="39">
        <v>0</v>
      </c>
      <c r="G69" s="40">
        <v>0</v>
      </c>
      <c r="H69" s="39">
        <v>0</v>
      </c>
      <c r="I69" s="40">
        <v>0</v>
      </c>
      <c r="J69" s="39">
        <v>0</v>
      </c>
      <c r="K69" s="40">
        <v>1</v>
      </c>
      <c r="L69" s="39">
        <v>0.022222222222222223</v>
      </c>
      <c r="M69" s="40">
        <v>0</v>
      </c>
      <c r="N69" s="39">
        <v>0</v>
      </c>
      <c r="O69" s="54">
        <v>1</v>
      </c>
      <c r="P69" s="61">
        <v>0.005617977528089888</v>
      </c>
      <c r="R69" s="66"/>
      <c r="S69" s="65"/>
      <c r="T69" s="66"/>
      <c r="U69" s="65"/>
      <c r="V69" s="66"/>
      <c r="W69" s="65"/>
      <c r="X69" s="66"/>
      <c r="Y69" s="67"/>
      <c r="Z69" s="26"/>
    </row>
    <row r="70" spans="2:26" ht="12.75" customHeight="1">
      <c r="B70" s="38" t="s">
        <v>119</v>
      </c>
      <c r="C70" s="5">
        <v>0</v>
      </c>
      <c r="D70" s="39">
        <v>0</v>
      </c>
      <c r="E70" s="40">
        <v>0</v>
      </c>
      <c r="F70" s="39">
        <v>0</v>
      </c>
      <c r="G70" s="40">
        <v>0</v>
      </c>
      <c r="H70" s="39">
        <v>0</v>
      </c>
      <c r="I70" s="40">
        <v>0</v>
      </c>
      <c r="J70" s="39">
        <v>0</v>
      </c>
      <c r="K70" s="40">
        <v>1</v>
      </c>
      <c r="L70" s="39">
        <v>0.022222222222222223</v>
      </c>
      <c r="M70" s="40">
        <v>0</v>
      </c>
      <c r="N70" s="39">
        <v>0</v>
      </c>
      <c r="O70" s="54">
        <v>1</v>
      </c>
      <c r="P70" s="61">
        <v>0.005617977528089888</v>
      </c>
      <c r="R70" s="66"/>
      <c r="S70" s="65"/>
      <c r="T70" s="66"/>
      <c r="U70" s="65"/>
      <c r="V70" s="66"/>
      <c r="W70" s="65"/>
      <c r="X70" s="66"/>
      <c r="Y70" s="67"/>
      <c r="Z70" s="26"/>
    </row>
    <row r="71" spans="2:26" ht="12.75" customHeight="1">
      <c r="B71" s="38" t="s">
        <v>120</v>
      </c>
      <c r="C71" s="5">
        <v>1</v>
      </c>
      <c r="D71" s="39">
        <v>0.022222222222222223</v>
      </c>
      <c r="E71" s="40">
        <v>0</v>
      </c>
      <c r="F71" s="39">
        <v>0</v>
      </c>
      <c r="G71" s="40">
        <v>0</v>
      </c>
      <c r="H71" s="39">
        <v>0</v>
      </c>
      <c r="I71" s="40">
        <v>0</v>
      </c>
      <c r="J71" s="39">
        <v>0</v>
      </c>
      <c r="K71" s="40">
        <v>0</v>
      </c>
      <c r="L71" s="39">
        <v>0</v>
      </c>
      <c r="M71" s="40">
        <v>0</v>
      </c>
      <c r="N71" s="39">
        <v>0</v>
      </c>
      <c r="O71" s="54">
        <v>1</v>
      </c>
      <c r="P71" s="61">
        <v>0.005617977528089888</v>
      </c>
      <c r="R71" s="66"/>
      <c r="S71" s="65"/>
      <c r="T71" s="66"/>
      <c r="U71" s="65"/>
      <c r="V71" s="66"/>
      <c r="W71" s="65"/>
      <c r="X71" s="66"/>
      <c r="Y71" s="67"/>
      <c r="Z71" s="26"/>
    </row>
    <row r="72" spans="2:26" ht="12.75" customHeight="1">
      <c r="B72" s="38" t="s">
        <v>121</v>
      </c>
      <c r="C72" s="5">
        <v>0</v>
      </c>
      <c r="D72" s="39">
        <v>0</v>
      </c>
      <c r="E72" s="40">
        <v>0</v>
      </c>
      <c r="F72" s="39">
        <v>0</v>
      </c>
      <c r="G72" s="40">
        <v>0</v>
      </c>
      <c r="H72" s="39">
        <v>0</v>
      </c>
      <c r="I72" s="40">
        <v>1</v>
      </c>
      <c r="J72" s="39">
        <v>0.125</v>
      </c>
      <c r="K72" s="40">
        <v>0</v>
      </c>
      <c r="L72" s="39">
        <v>0</v>
      </c>
      <c r="M72" s="40">
        <v>0</v>
      </c>
      <c r="N72" s="39">
        <v>0</v>
      </c>
      <c r="O72" s="54">
        <v>1</v>
      </c>
      <c r="P72" s="61">
        <v>0.005617977528089888</v>
      </c>
      <c r="R72" s="66"/>
      <c r="S72" s="65"/>
      <c r="T72" s="66"/>
      <c r="U72" s="65"/>
      <c r="V72" s="66"/>
      <c r="W72" s="65"/>
      <c r="X72" s="66"/>
      <c r="Y72" s="67"/>
      <c r="Z72" s="26"/>
    </row>
    <row r="73" spans="2:26" ht="12.75" customHeight="1">
      <c r="B73" s="38" t="s">
        <v>122</v>
      </c>
      <c r="C73" s="5">
        <v>0</v>
      </c>
      <c r="D73" s="39">
        <v>0</v>
      </c>
      <c r="E73" s="40">
        <v>0</v>
      </c>
      <c r="F73" s="39">
        <v>0</v>
      </c>
      <c r="G73" s="40">
        <v>1</v>
      </c>
      <c r="H73" s="39">
        <v>0.023255813953488372</v>
      </c>
      <c r="I73" s="40">
        <v>0</v>
      </c>
      <c r="J73" s="39">
        <v>0</v>
      </c>
      <c r="K73" s="40">
        <v>0</v>
      </c>
      <c r="L73" s="39">
        <v>0</v>
      </c>
      <c r="M73" s="40">
        <v>0</v>
      </c>
      <c r="N73" s="39">
        <v>0</v>
      </c>
      <c r="O73" s="54">
        <v>1</v>
      </c>
      <c r="P73" s="61">
        <v>0.005617977528089888</v>
      </c>
      <c r="R73" s="66"/>
      <c r="S73" s="65"/>
      <c r="T73" s="66"/>
      <c r="U73" s="65"/>
      <c r="V73" s="66"/>
      <c r="W73" s="65"/>
      <c r="X73" s="66"/>
      <c r="Y73" s="67"/>
      <c r="Z73" s="26"/>
    </row>
    <row r="74" spans="2:26" ht="12.75" customHeight="1">
      <c r="B74" s="38" t="s">
        <v>123</v>
      </c>
      <c r="C74" s="5">
        <v>0</v>
      </c>
      <c r="D74" s="39">
        <v>0</v>
      </c>
      <c r="E74" s="40">
        <v>0</v>
      </c>
      <c r="F74" s="39">
        <v>0</v>
      </c>
      <c r="G74" s="40">
        <v>1</v>
      </c>
      <c r="H74" s="39">
        <v>0.023255813953488372</v>
      </c>
      <c r="I74" s="40">
        <v>0</v>
      </c>
      <c r="J74" s="39">
        <v>0</v>
      </c>
      <c r="K74" s="40">
        <v>0</v>
      </c>
      <c r="L74" s="39">
        <v>0</v>
      </c>
      <c r="M74" s="40">
        <v>0</v>
      </c>
      <c r="N74" s="39">
        <v>0</v>
      </c>
      <c r="O74" s="54">
        <v>1</v>
      </c>
      <c r="P74" s="61">
        <v>0.005617977528089888</v>
      </c>
      <c r="R74" s="66"/>
      <c r="S74" s="65"/>
      <c r="T74" s="66"/>
      <c r="U74" s="65"/>
      <c r="V74" s="66"/>
      <c r="W74" s="65"/>
      <c r="X74" s="66"/>
      <c r="Y74" s="67"/>
      <c r="Z74" s="26"/>
    </row>
    <row r="75" spans="2:26" ht="12.75" customHeight="1">
      <c r="B75" s="38" t="s">
        <v>124</v>
      </c>
      <c r="C75" s="5">
        <v>0</v>
      </c>
      <c r="D75" s="39">
        <v>0</v>
      </c>
      <c r="E75" s="40">
        <v>0</v>
      </c>
      <c r="F75" s="39">
        <v>0</v>
      </c>
      <c r="G75" s="40">
        <v>0</v>
      </c>
      <c r="H75" s="39">
        <v>0</v>
      </c>
      <c r="I75" s="40">
        <v>0</v>
      </c>
      <c r="J75" s="39">
        <v>0</v>
      </c>
      <c r="K75" s="40">
        <v>0</v>
      </c>
      <c r="L75" s="39">
        <v>0</v>
      </c>
      <c r="M75" s="40">
        <v>1</v>
      </c>
      <c r="N75" s="39">
        <v>0.07142857142857142</v>
      </c>
      <c r="O75" s="54">
        <v>1</v>
      </c>
      <c r="P75" s="61">
        <v>0.005617977528089888</v>
      </c>
      <c r="R75" s="66"/>
      <c r="S75" s="65"/>
      <c r="T75" s="66"/>
      <c r="U75" s="65"/>
      <c r="V75" s="66"/>
      <c r="W75" s="65"/>
      <c r="X75" s="66"/>
      <c r="Y75" s="67"/>
      <c r="Z75" s="26"/>
    </row>
    <row r="76" spans="2:26" ht="12.75" customHeight="1">
      <c r="B76" s="38" t="s">
        <v>125</v>
      </c>
      <c r="C76" s="5">
        <v>0</v>
      </c>
      <c r="D76" s="39">
        <v>0</v>
      </c>
      <c r="E76" s="40">
        <v>0</v>
      </c>
      <c r="F76" s="39">
        <v>0</v>
      </c>
      <c r="G76" s="40">
        <v>1</v>
      </c>
      <c r="H76" s="39">
        <v>0.023255813953488372</v>
      </c>
      <c r="I76" s="40">
        <v>1</v>
      </c>
      <c r="J76" s="39">
        <v>0.125</v>
      </c>
      <c r="K76" s="40">
        <v>0</v>
      </c>
      <c r="L76" s="39">
        <v>0</v>
      </c>
      <c r="M76" s="40">
        <v>0</v>
      </c>
      <c r="N76" s="39">
        <v>0</v>
      </c>
      <c r="O76" s="54">
        <v>2</v>
      </c>
      <c r="P76" s="55">
        <v>0.011235955056179777</v>
      </c>
      <c r="R76" s="66"/>
      <c r="S76" s="65"/>
      <c r="T76" s="66"/>
      <c r="U76" s="65"/>
      <c r="V76" s="66"/>
      <c r="W76" s="65"/>
      <c r="X76" s="66"/>
      <c r="Y76" s="67"/>
      <c r="Z76" s="26"/>
    </row>
    <row r="77" spans="2:26" ht="12.75" customHeight="1">
      <c r="B77" s="38" t="s">
        <v>126</v>
      </c>
      <c r="C77" s="5">
        <v>0</v>
      </c>
      <c r="D77" s="39">
        <v>0</v>
      </c>
      <c r="E77" s="40">
        <v>0</v>
      </c>
      <c r="F77" s="39">
        <v>0</v>
      </c>
      <c r="G77" s="40">
        <v>0</v>
      </c>
      <c r="H77" s="39">
        <v>0</v>
      </c>
      <c r="I77" s="40">
        <v>0</v>
      </c>
      <c r="J77" s="39">
        <v>0</v>
      </c>
      <c r="K77" s="40">
        <v>0</v>
      </c>
      <c r="L77" s="39">
        <v>0</v>
      </c>
      <c r="M77" s="40">
        <v>1</v>
      </c>
      <c r="N77" s="39">
        <v>0.07142857142857142</v>
      </c>
      <c r="O77" s="54">
        <v>1</v>
      </c>
      <c r="P77" s="61">
        <v>0.005617977528089888</v>
      </c>
      <c r="R77" s="66"/>
      <c r="S77" s="65"/>
      <c r="T77" s="66"/>
      <c r="U77" s="65"/>
      <c r="V77" s="66"/>
      <c r="W77" s="65"/>
      <c r="X77" s="66"/>
      <c r="Y77" s="67"/>
      <c r="Z77" s="26"/>
    </row>
    <row r="78" spans="2:26" ht="12.75" customHeight="1">
      <c r="B78" s="38" t="s">
        <v>127</v>
      </c>
      <c r="C78" s="5">
        <v>0</v>
      </c>
      <c r="D78" s="39">
        <v>0</v>
      </c>
      <c r="E78" s="40">
        <v>0</v>
      </c>
      <c r="F78" s="39">
        <v>0</v>
      </c>
      <c r="G78" s="40">
        <v>0</v>
      </c>
      <c r="H78" s="39">
        <v>0</v>
      </c>
      <c r="I78" s="40">
        <v>0</v>
      </c>
      <c r="J78" s="39">
        <v>0</v>
      </c>
      <c r="K78" s="40">
        <v>1</v>
      </c>
      <c r="L78" s="39">
        <v>0.022222222222222223</v>
      </c>
      <c r="M78" s="40">
        <v>0</v>
      </c>
      <c r="N78" s="39">
        <v>0</v>
      </c>
      <c r="O78" s="54">
        <v>1</v>
      </c>
      <c r="P78" s="61">
        <v>0.005617977528089888</v>
      </c>
      <c r="R78" s="66"/>
      <c r="S78" s="65"/>
      <c r="T78" s="66"/>
      <c r="U78" s="65"/>
      <c r="V78" s="66"/>
      <c r="W78" s="65"/>
      <c r="X78" s="66"/>
      <c r="Y78" s="67"/>
      <c r="Z78" s="26"/>
    </row>
    <row r="79" spans="2:26" ht="12.75" customHeight="1">
      <c r="B79" s="38" t="s">
        <v>128</v>
      </c>
      <c r="C79" s="5">
        <v>0</v>
      </c>
      <c r="D79" s="39">
        <v>0</v>
      </c>
      <c r="E79" s="40">
        <v>0</v>
      </c>
      <c r="F79" s="39">
        <v>0</v>
      </c>
      <c r="G79" s="40">
        <v>0</v>
      </c>
      <c r="H79" s="39">
        <v>0</v>
      </c>
      <c r="I79" s="40">
        <v>0</v>
      </c>
      <c r="J79" s="39">
        <v>0</v>
      </c>
      <c r="K79" s="40">
        <v>1</v>
      </c>
      <c r="L79" s="39">
        <v>0.022222222222222223</v>
      </c>
      <c r="M79" s="40">
        <v>0</v>
      </c>
      <c r="N79" s="39">
        <v>0</v>
      </c>
      <c r="O79" s="54">
        <v>1</v>
      </c>
      <c r="P79" s="61">
        <v>0.005617977528089888</v>
      </c>
      <c r="R79" s="66"/>
      <c r="S79" s="65"/>
      <c r="T79" s="66"/>
      <c r="U79" s="65"/>
      <c r="V79" s="66"/>
      <c r="W79" s="65"/>
      <c r="X79" s="66"/>
      <c r="Y79" s="67"/>
      <c r="Z79" s="26"/>
    </row>
    <row r="80" spans="2:26" ht="12.75" customHeight="1">
      <c r="B80" s="38" t="s">
        <v>129</v>
      </c>
      <c r="C80" s="5">
        <v>0</v>
      </c>
      <c r="D80" s="39">
        <v>0</v>
      </c>
      <c r="E80" s="40">
        <v>0</v>
      </c>
      <c r="F80" s="39">
        <v>0</v>
      </c>
      <c r="G80" s="40">
        <v>0</v>
      </c>
      <c r="H80" s="39">
        <v>0</v>
      </c>
      <c r="I80" s="40">
        <v>0</v>
      </c>
      <c r="J80" s="39">
        <v>0</v>
      </c>
      <c r="K80" s="40">
        <v>1</v>
      </c>
      <c r="L80" s="39">
        <v>0.022222222222222223</v>
      </c>
      <c r="M80" s="40">
        <v>0</v>
      </c>
      <c r="N80" s="39">
        <v>0</v>
      </c>
      <c r="O80" s="54">
        <v>1</v>
      </c>
      <c r="P80" s="61">
        <v>0.005617977528089888</v>
      </c>
      <c r="R80" s="66"/>
      <c r="S80" s="65"/>
      <c r="T80" s="66"/>
      <c r="U80" s="65"/>
      <c r="V80" s="66"/>
      <c r="W80" s="65"/>
      <c r="X80" s="66"/>
      <c r="Y80" s="67"/>
      <c r="Z80" s="26"/>
    </row>
    <row r="81" spans="2:26" ht="12.75" customHeight="1">
      <c r="B81" s="38" t="s">
        <v>130</v>
      </c>
      <c r="C81" s="5">
        <v>0</v>
      </c>
      <c r="D81" s="39">
        <v>0</v>
      </c>
      <c r="E81" s="40">
        <v>0</v>
      </c>
      <c r="F81" s="39">
        <v>0</v>
      </c>
      <c r="G81" s="40">
        <v>0</v>
      </c>
      <c r="H81" s="39">
        <v>0</v>
      </c>
      <c r="I81" s="40">
        <v>1</v>
      </c>
      <c r="J81" s="39">
        <v>0.125</v>
      </c>
      <c r="K81" s="40">
        <v>0</v>
      </c>
      <c r="L81" s="39">
        <v>0</v>
      </c>
      <c r="M81" s="40">
        <v>0</v>
      </c>
      <c r="N81" s="39">
        <v>0</v>
      </c>
      <c r="O81" s="54">
        <v>1</v>
      </c>
      <c r="P81" s="61">
        <v>0.005617977528089888</v>
      </c>
      <c r="R81" s="66"/>
      <c r="S81" s="65"/>
      <c r="T81" s="66"/>
      <c r="U81" s="65"/>
      <c r="V81" s="66"/>
      <c r="W81" s="65"/>
      <c r="X81" s="66"/>
      <c r="Y81" s="67"/>
      <c r="Z81" s="26"/>
    </row>
    <row r="82" spans="2:26" ht="12.75" customHeight="1">
      <c r="B82" s="38" t="s">
        <v>131</v>
      </c>
      <c r="C82" s="5">
        <v>1</v>
      </c>
      <c r="D82" s="39">
        <v>0.022222222222222223</v>
      </c>
      <c r="E82" s="40">
        <v>0</v>
      </c>
      <c r="F82" s="39">
        <v>0</v>
      </c>
      <c r="G82" s="40">
        <v>0</v>
      </c>
      <c r="H82" s="39">
        <v>0</v>
      </c>
      <c r="I82" s="40">
        <v>0</v>
      </c>
      <c r="J82" s="39">
        <v>0</v>
      </c>
      <c r="K82" s="40">
        <v>0</v>
      </c>
      <c r="L82" s="39">
        <v>0</v>
      </c>
      <c r="M82" s="40">
        <v>0</v>
      </c>
      <c r="N82" s="39">
        <v>0</v>
      </c>
      <c r="O82" s="54">
        <v>1</v>
      </c>
      <c r="P82" s="61">
        <v>0.005617977528089888</v>
      </c>
      <c r="R82" s="66"/>
      <c r="S82" s="65"/>
      <c r="T82" s="66"/>
      <c r="U82" s="65"/>
      <c r="V82" s="66"/>
      <c r="W82" s="65"/>
      <c r="X82" s="66"/>
      <c r="Y82" s="67"/>
      <c r="Z82" s="26"/>
    </row>
    <row r="83" spans="2:26" ht="12.75" customHeight="1">
      <c r="B83" s="38" t="s">
        <v>132</v>
      </c>
      <c r="C83" s="5">
        <v>0</v>
      </c>
      <c r="D83" s="39">
        <v>0</v>
      </c>
      <c r="E83" s="40">
        <v>0</v>
      </c>
      <c r="F83" s="39">
        <v>0</v>
      </c>
      <c r="G83" s="40">
        <v>1</v>
      </c>
      <c r="H83" s="39">
        <v>0.023255813953488372</v>
      </c>
      <c r="I83" s="40">
        <v>0</v>
      </c>
      <c r="J83" s="39">
        <v>0</v>
      </c>
      <c r="K83" s="40">
        <v>1</v>
      </c>
      <c r="L83" s="39">
        <v>0.022222222222222223</v>
      </c>
      <c r="M83" s="40">
        <v>0</v>
      </c>
      <c r="N83" s="39">
        <v>0</v>
      </c>
      <c r="O83" s="54">
        <v>2</v>
      </c>
      <c r="P83" s="55">
        <v>0.011235955056179777</v>
      </c>
      <c r="R83" s="66"/>
      <c r="S83" s="65"/>
      <c r="T83" s="66"/>
      <c r="U83" s="65"/>
      <c r="V83" s="66"/>
      <c r="W83" s="65"/>
      <c r="X83" s="66"/>
      <c r="Y83" s="67"/>
      <c r="Z83" s="26"/>
    </row>
    <row r="84" spans="2:26" ht="12.75" customHeight="1">
      <c r="B84" s="38" t="s">
        <v>75</v>
      </c>
      <c r="C84" s="5">
        <v>2</v>
      </c>
      <c r="D84" s="39">
        <v>0.044444444444444446</v>
      </c>
      <c r="E84" s="40">
        <v>2</v>
      </c>
      <c r="F84" s="39">
        <v>0.08695652173913043</v>
      </c>
      <c r="G84" s="40">
        <v>4</v>
      </c>
      <c r="H84" s="39">
        <v>0.09302325581395349</v>
      </c>
      <c r="I84" s="40">
        <v>0</v>
      </c>
      <c r="J84" s="39">
        <v>0</v>
      </c>
      <c r="K84" s="40">
        <v>2</v>
      </c>
      <c r="L84" s="39">
        <v>0.044444444444444446</v>
      </c>
      <c r="M84" s="40">
        <v>0</v>
      </c>
      <c r="N84" s="39">
        <v>0</v>
      </c>
      <c r="O84" s="54">
        <v>10</v>
      </c>
      <c r="P84" s="55">
        <v>0.056179775280898875</v>
      </c>
      <c r="R84" s="66"/>
      <c r="S84" s="65"/>
      <c r="T84" s="66"/>
      <c r="U84" s="65"/>
      <c r="V84" s="66"/>
      <c r="W84" s="65"/>
      <c r="X84" s="66"/>
      <c r="Y84" s="67"/>
      <c r="Z84" s="26"/>
    </row>
    <row r="85" spans="2:26" ht="12.75" customHeight="1">
      <c r="B85" s="38" t="s">
        <v>133</v>
      </c>
      <c r="C85" s="5">
        <v>1</v>
      </c>
      <c r="D85" s="39">
        <v>0.022222222222222223</v>
      </c>
      <c r="E85" s="40">
        <v>0</v>
      </c>
      <c r="F85" s="39">
        <v>0</v>
      </c>
      <c r="G85" s="40">
        <v>3</v>
      </c>
      <c r="H85" s="39">
        <v>0.06976744186046512</v>
      </c>
      <c r="I85" s="40">
        <v>1</v>
      </c>
      <c r="J85" s="39">
        <v>0.125</v>
      </c>
      <c r="K85" s="40">
        <v>0</v>
      </c>
      <c r="L85" s="39">
        <v>0</v>
      </c>
      <c r="M85" s="40">
        <v>0</v>
      </c>
      <c r="N85" s="39">
        <v>0</v>
      </c>
      <c r="O85" s="54">
        <v>5</v>
      </c>
      <c r="P85" s="55">
        <v>0.028089887640449437</v>
      </c>
      <c r="R85" s="66"/>
      <c r="S85" s="65"/>
      <c r="T85" s="66"/>
      <c r="U85" s="65"/>
      <c r="V85" s="66"/>
      <c r="W85" s="65"/>
      <c r="X85" s="66"/>
      <c r="Y85" s="67"/>
      <c r="Z85" s="26"/>
    </row>
    <row r="86" spans="2:26" ht="12.75" customHeight="1">
      <c r="B86" s="38" t="s">
        <v>76</v>
      </c>
      <c r="C86" s="5">
        <v>3</v>
      </c>
      <c r="D86" s="39">
        <v>0.06666666666666667</v>
      </c>
      <c r="E86" s="40">
        <v>0</v>
      </c>
      <c r="F86" s="39">
        <v>0</v>
      </c>
      <c r="G86" s="40">
        <v>1</v>
      </c>
      <c r="H86" s="39">
        <v>0.023255813953488372</v>
      </c>
      <c r="I86" s="40">
        <v>1</v>
      </c>
      <c r="J86" s="39">
        <v>0.125</v>
      </c>
      <c r="K86" s="40">
        <v>0</v>
      </c>
      <c r="L86" s="39">
        <v>0</v>
      </c>
      <c r="M86" s="40">
        <v>1</v>
      </c>
      <c r="N86" s="39">
        <v>0.07142857142857142</v>
      </c>
      <c r="O86" s="54">
        <v>6</v>
      </c>
      <c r="P86" s="55">
        <v>0.033707865168539325</v>
      </c>
      <c r="R86" s="66"/>
      <c r="S86" s="65"/>
      <c r="T86" s="66"/>
      <c r="U86" s="65"/>
      <c r="V86" s="66"/>
      <c r="W86" s="65"/>
      <c r="X86" s="66"/>
      <c r="Y86" s="67"/>
      <c r="Z86" s="26"/>
    </row>
    <row r="87" spans="2:26" ht="12.75" customHeight="1">
      <c r="B87" s="38" t="s">
        <v>134</v>
      </c>
      <c r="C87" s="5">
        <v>2</v>
      </c>
      <c r="D87" s="39">
        <v>0.044444444444444446</v>
      </c>
      <c r="E87" s="40">
        <v>2</v>
      </c>
      <c r="F87" s="39">
        <v>0.08695652173913043</v>
      </c>
      <c r="G87" s="40">
        <v>1</v>
      </c>
      <c r="H87" s="39">
        <v>0.023255813953488372</v>
      </c>
      <c r="I87" s="40">
        <v>0</v>
      </c>
      <c r="J87" s="39">
        <v>0</v>
      </c>
      <c r="K87" s="40">
        <v>0</v>
      </c>
      <c r="L87" s="39">
        <v>0</v>
      </c>
      <c r="M87" s="40">
        <v>1</v>
      </c>
      <c r="N87" s="39">
        <v>0.07142857142857142</v>
      </c>
      <c r="O87" s="54">
        <v>6</v>
      </c>
      <c r="P87" s="55">
        <v>0.033707865168539325</v>
      </c>
      <c r="R87" s="66"/>
      <c r="S87" s="65"/>
      <c r="T87" s="66"/>
      <c r="U87" s="65"/>
      <c r="V87" s="66"/>
      <c r="W87" s="65"/>
      <c r="X87" s="66"/>
      <c r="Y87" s="67"/>
      <c r="Z87" s="26"/>
    </row>
    <row r="88" spans="2:26" ht="12.75" customHeight="1">
      <c r="B88" s="38" t="s">
        <v>135</v>
      </c>
      <c r="C88" s="5">
        <v>1</v>
      </c>
      <c r="D88" s="39">
        <v>0.022222222222222223</v>
      </c>
      <c r="E88" s="40">
        <v>0</v>
      </c>
      <c r="F88" s="39">
        <v>0</v>
      </c>
      <c r="G88" s="40">
        <v>4</v>
      </c>
      <c r="H88" s="39">
        <v>0.09302325581395349</v>
      </c>
      <c r="I88" s="40">
        <v>0</v>
      </c>
      <c r="J88" s="39">
        <v>0</v>
      </c>
      <c r="K88" s="40">
        <v>0</v>
      </c>
      <c r="L88" s="39">
        <v>0</v>
      </c>
      <c r="M88" s="40">
        <v>0</v>
      </c>
      <c r="N88" s="39">
        <v>0</v>
      </c>
      <c r="O88" s="54">
        <v>5</v>
      </c>
      <c r="P88" s="55">
        <v>0.028089887640449437</v>
      </c>
      <c r="R88" s="66"/>
      <c r="S88" s="65"/>
      <c r="T88" s="66"/>
      <c r="U88" s="65"/>
      <c r="V88" s="66"/>
      <c r="W88" s="65"/>
      <c r="X88" s="66"/>
      <c r="Y88" s="67"/>
      <c r="Z88" s="26"/>
    </row>
    <row r="89" spans="2:26" ht="12.75" customHeight="1">
      <c r="B89" s="38" t="s">
        <v>136</v>
      </c>
      <c r="C89" s="5">
        <v>0</v>
      </c>
      <c r="D89" s="39">
        <v>0</v>
      </c>
      <c r="E89" s="40">
        <v>0</v>
      </c>
      <c r="F89" s="39">
        <v>0</v>
      </c>
      <c r="G89" s="40">
        <v>1</v>
      </c>
      <c r="H89" s="39">
        <v>0.023255813953488372</v>
      </c>
      <c r="I89" s="40">
        <v>0</v>
      </c>
      <c r="J89" s="39">
        <v>0</v>
      </c>
      <c r="K89" s="40">
        <v>0</v>
      </c>
      <c r="L89" s="39">
        <v>0</v>
      </c>
      <c r="M89" s="40">
        <v>0</v>
      </c>
      <c r="N89" s="39">
        <v>0</v>
      </c>
      <c r="O89" s="54">
        <v>1</v>
      </c>
      <c r="P89" s="61">
        <v>0.005617977528089888</v>
      </c>
      <c r="R89" s="66"/>
      <c r="S89" s="65"/>
      <c r="T89" s="66"/>
      <c r="U89" s="65"/>
      <c r="V89" s="66"/>
      <c r="W89" s="65"/>
      <c r="X89" s="66"/>
      <c r="Y89" s="67"/>
      <c r="Z89" s="26"/>
    </row>
    <row r="90" spans="2:26" ht="12.75" customHeight="1">
      <c r="B90" s="38" t="s">
        <v>137</v>
      </c>
      <c r="C90" s="5">
        <v>0</v>
      </c>
      <c r="D90" s="39">
        <v>0</v>
      </c>
      <c r="E90" s="40">
        <v>0</v>
      </c>
      <c r="F90" s="39">
        <v>0</v>
      </c>
      <c r="G90" s="40">
        <v>1</v>
      </c>
      <c r="H90" s="39">
        <v>0.023255813953488372</v>
      </c>
      <c r="I90" s="40">
        <v>0</v>
      </c>
      <c r="J90" s="39">
        <v>0</v>
      </c>
      <c r="K90" s="40">
        <v>0</v>
      </c>
      <c r="L90" s="39">
        <v>0</v>
      </c>
      <c r="M90" s="40">
        <v>0</v>
      </c>
      <c r="N90" s="39">
        <v>0</v>
      </c>
      <c r="O90" s="54">
        <v>1</v>
      </c>
      <c r="P90" s="61">
        <v>0.005617977528089888</v>
      </c>
      <c r="R90" s="66"/>
      <c r="S90" s="65"/>
      <c r="T90" s="66"/>
      <c r="U90" s="65"/>
      <c r="V90" s="66"/>
      <c r="W90" s="65"/>
      <c r="X90" s="66"/>
      <c r="Y90" s="67"/>
      <c r="Z90" s="26"/>
    </row>
    <row r="91" spans="2:26" ht="12.75" customHeight="1">
      <c r="B91" s="38" t="s">
        <v>138</v>
      </c>
      <c r="C91" s="5">
        <v>3</v>
      </c>
      <c r="D91" s="39">
        <v>0.06666666666666667</v>
      </c>
      <c r="E91" s="40">
        <v>0</v>
      </c>
      <c r="F91" s="39">
        <v>0</v>
      </c>
      <c r="G91" s="40">
        <v>1</v>
      </c>
      <c r="H91" s="39">
        <v>0.023255813953488372</v>
      </c>
      <c r="I91" s="40">
        <v>0</v>
      </c>
      <c r="J91" s="39">
        <v>0</v>
      </c>
      <c r="K91" s="40">
        <v>2</v>
      </c>
      <c r="L91" s="39">
        <v>0.044444444444444446</v>
      </c>
      <c r="M91" s="40">
        <v>1</v>
      </c>
      <c r="N91" s="39">
        <v>0.07142857142857142</v>
      </c>
      <c r="O91" s="54">
        <v>7</v>
      </c>
      <c r="P91" s="55">
        <v>0.03932584269662921</v>
      </c>
      <c r="R91" s="66"/>
      <c r="S91" s="65"/>
      <c r="T91" s="66"/>
      <c r="U91" s="65"/>
      <c r="V91" s="66"/>
      <c r="W91" s="65"/>
      <c r="X91" s="66"/>
      <c r="Y91" s="67"/>
      <c r="Z91" s="26"/>
    </row>
    <row r="92" spans="2:26" ht="12.75" customHeight="1">
      <c r="B92" s="38" t="s">
        <v>139</v>
      </c>
      <c r="C92" s="5">
        <v>1</v>
      </c>
      <c r="D92" s="39">
        <v>0.022222222222222223</v>
      </c>
      <c r="E92" s="40">
        <v>2</v>
      </c>
      <c r="F92" s="39">
        <v>0.08695652173913043</v>
      </c>
      <c r="G92" s="40">
        <v>0</v>
      </c>
      <c r="H92" s="39">
        <v>0</v>
      </c>
      <c r="I92" s="40">
        <v>0</v>
      </c>
      <c r="J92" s="39">
        <v>0</v>
      </c>
      <c r="K92" s="40">
        <v>0</v>
      </c>
      <c r="L92" s="39">
        <v>0</v>
      </c>
      <c r="M92" s="40">
        <v>0</v>
      </c>
      <c r="N92" s="39">
        <v>0</v>
      </c>
      <c r="O92" s="54">
        <v>3</v>
      </c>
      <c r="P92" s="55">
        <v>0.016853932584269662</v>
      </c>
      <c r="R92" s="66"/>
      <c r="S92" s="65"/>
      <c r="T92" s="66"/>
      <c r="U92" s="65"/>
      <c r="V92" s="66"/>
      <c r="W92" s="65"/>
      <c r="X92" s="66"/>
      <c r="Y92" s="67"/>
      <c r="Z92" s="26"/>
    </row>
    <row r="93" spans="2:26" ht="12.75" customHeight="1">
      <c r="B93" s="38" t="s">
        <v>140</v>
      </c>
      <c r="C93" s="5">
        <v>1</v>
      </c>
      <c r="D93" s="39">
        <v>0.022222222222222223</v>
      </c>
      <c r="E93" s="40">
        <v>0</v>
      </c>
      <c r="F93" s="39">
        <v>0</v>
      </c>
      <c r="G93" s="40">
        <v>2</v>
      </c>
      <c r="H93" s="39">
        <v>0.046511627906976744</v>
      </c>
      <c r="I93" s="40">
        <v>0</v>
      </c>
      <c r="J93" s="39">
        <v>0</v>
      </c>
      <c r="K93" s="40">
        <v>0</v>
      </c>
      <c r="L93" s="39">
        <v>0</v>
      </c>
      <c r="M93" s="40">
        <v>1</v>
      </c>
      <c r="N93" s="39">
        <v>0.07142857142857142</v>
      </c>
      <c r="O93" s="54">
        <v>4</v>
      </c>
      <c r="P93" s="55">
        <v>0.022471910112359553</v>
      </c>
      <c r="R93" s="66"/>
      <c r="S93" s="65"/>
      <c r="T93" s="66"/>
      <c r="U93" s="65"/>
      <c r="V93" s="66"/>
      <c r="W93" s="65"/>
      <c r="X93" s="66"/>
      <c r="Y93" s="67"/>
      <c r="Z93" s="26"/>
    </row>
    <row r="94" spans="2:26" ht="12.75" customHeight="1">
      <c r="B94" s="38" t="s">
        <v>141</v>
      </c>
      <c r="C94" s="5">
        <v>0</v>
      </c>
      <c r="D94" s="39">
        <v>0</v>
      </c>
      <c r="E94" s="40">
        <v>0</v>
      </c>
      <c r="F94" s="39">
        <v>0</v>
      </c>
      <c r="G94" s="40">
        <v>0</v>
      </c>
      <c r="H94" s="39">
        <v>0</v>
      </c>
      <c r="I94" s="40">
        <v>0</v>
      </c>
      <c r="J94" s="39">
        <v>0</v>
      </c>
      <c r="K94" s="40">
        <v>1</v>
      </c>
      <c r="L94" s="39">
        <v>0.022222222222222223</v>
      </c>
      <c r="M94" s="40">
        <v>0</v>
      </c>
      <c r="N94" s="39">
        <v>0</v>
      </c>
      <c r="O94" s="54">
        <v>1</v>
      </c>
      <c r="P94" s="61">
        <v>0.005617977528089888</v>
      </c>
      <c r="R94" s="66"/>
      <c r="S94" s="65"/>
      <c r="T94" s="66"/>
      <c r="U94" s="65"/>
      <c r="V94" s="66"/>
      <c r="W94" s="65"/>
      <c r="X94" s="66"/>
      <c r="Y94" s="67"/>
      <c r="Z94" s="26"/>
    </row>
    <row r="95" spans="2:26" ht="12.75" customHeight="1">
      <c r="B95" s="38" t="s">
        <v>142</v>
      </c>
      <c r="C95" s="5">
        <v>0</v>
      </c>
      <c r="D95" s="39">
        <v>0</v>
      </c>
      <c r="E95" s="40">
        <v>2</v>
      </c>
      <c r="F95" s="39">
        <v>0.08695652173913043</v>
      </c>
      <c r="G95" s="40">
        <v>0</v>
      </c>
      <c r="H95" s="39">
        <v>0</v>
      </c>
      <c r="I95" s="40">
        <v>0</v>
      </c>
      <c r="J95" s="39">
        <v>0</v>
      </c>
      <c r="K95" s="40">
        <v>0</v>
      </c>
      <c r="L95" s="39">
        <v>0</v>
      </c>
      <c r="M95" s="40">
        <v>0</v>
      </c>
      <c r="N95" s="39">
        <v>0</v>
      </c>
      <c r="O95" s="54">
        <v>2</v>
      </c>
      <c r="P95" s="55">
        <v>0.011235955056179777</v>
      </c>
      <c r="R95" s="66"/>
      <c r="S95" s="65"/>
      <c r="T95" s="66"/>
      <c r="U95" s="65"/>
      <c r="V95" s="66"/>
      <c r="W95" s="65"/>
      <c r="X95" s="66"/>
      <c r="Y95" s="67"/>
      <c r="Z95" s="26"/>
    </row>
    <row r="96" spans="2:26" ht="12.75" customHeight="1">
      <c r="B96" s="38" t="s">
        <v>77</v>
      </c>
      <c r="C96" s="5">
        <v>0</v>
      </c>
      <c r="D96" s="39">
        <v>0</v>
      </c>
      <c r="E96" s="40">
        <v>0</v>
      </c>
      <c r="F96" s="39">
        <v>0</v>
      </c>
      <c r="G96" s="40">
        <v>0</v>
      </c>
      <c r="H96" s="39">
        <v>0</v>
      </c>
      <c r="I96" s="40">
        <v>0</v>
      </c>
      <c r="J96" s="39">
        <v>0</v>
      </c>
      <c r="K96" s="40">
        <v>1</v>
      </c>
      <c r="L96" s="39">
        <v>0.022222222222222223</v>
      </c>
      <c r="M96" s="40">
        <v>0</v>
      </c>
      <c r="N96" s="39">
        <v>0</v>
      </c>
      <c r="O96" s="54">
        <v>1</v>
      </c>
      <c r="P96" s="61">
        <v>0.005617977528089888</v>
      </c>
      <c r="R96" s="66"/>
      <c r="S96" s="65"/>
      <c r="T96" s="66"/>
      <c r="U96" s="65"/>
      <c r="V96" s="66"/>
      <c r="W96" s="65"/>
      <c r="X96" s="66"/>
      <c r="Y96" s="67"/>
      <c r="Z96" s="26"/>
    </row>
    <row r="97" spans="2:26" ht="12.75" customHeight="1">
      <c r="B97" s="38" t="s">
        <v>143</v>
      </c>
      <c r="C97" s="5">
        <v>0</v>
      </c>
      <c r="D97" s="39">
        <v>0</v>
      </c>
      <c r="E97" s="40">
        <v>0</v>
      </c>
      <c r="F97" s="39">
        <v>0</v>
      </c>
      <c r="G97" s="40">
        <v>1</v>
      </c>
      <c r="H97" s="39">
        <v>0.023255813953488372</v>
      </c>
      <c r="I97" s="40">
        <v>0</v>
      </c>
      <c r="J97" s="39">
        <v>0</v>
      </c>
      <c r="K97" s="40">
        <v>0</v>
      </c>
      <c r="L97" s="39">
        <v>0</v>
      </c>
      <c r="M97" s="40">
        <v>0</v>
      </c>
      <c r="N97" s="39">
        <v>0</v>
      </c>
      <c r="O97" s="54">
        <v>1</v>
      </c>
      <c r="P97" s="61">
        <v>0.005617977528089888</v>
      </c>
      <c r="R97" s="66"/>
      <c r="S97" s="65"/>
      <c r="T97" s="66"/>
      <c r="U97" s="65"/>
      <c r="V97" s="66"/>
      <c r="W97" s="65"/>
      <c r="X97" s="66"/>
      <c r="Y97" s="67"/>
      <c r="Z97" s="26"/>
    </row>
    <row r="98" spans="2:26" ht="12.75" customHeight="1">
      <c r="B98" s="38" t="s">
        <v>144</v>
      </c>
      <c r="C98" s="5">
        <v>0</v>
      </c>
      <c r="D98" s="39">
        <v>0</v>
      </c>
      <c r="E98" s="40">
        <v>0</v>
      </c>
      <c r="F98" s="39">
        <v>0</v>
      </c>
      <c r="G98" s="40">
        <v>0</v>
      </c>
      <c r="H98" s="39">
        <v>0</v>
      </c>
      <c r="I98" s="40">
        <v>0</v>
      </c>
      <c r="J98" s="39">
        <v>0</v>
      </c>
      <c r="K98" s="40">
        <v>2</v>
      </c>
      <c r="L98" s="39">
        <v>0.044444444444444446</v>
      </c>
      <c r="M98" s="40">
        <v>0</v>
      </c>
      <c r="N98" s="39">
        <v>0</v>
      </c>
      <c r="O98" s="54">
        <v>2</v>
      </c>
      <c r="P98" s="55">
        <v>0.011235955056179777</v>
      </c>
      <c r="R98" s="66"/>
      <c r="S98" s="65"/>
      <c r="T98" s="66"/>
      <c r="U98" s="65"/>
      <c r="V98" s="66"/>
      <c r="W98" s="65"/>
      <c r="X98" s="66"/>
      <c r="Y98" s="67"/>
      <c r="Z98" s="26"/>
    </row>
    <row r="99" spans="2:26" ht="12.75" customHeight="1">
      <c r="B99" s="38" t="s">
        <v>78</v>
      </c>
      <c r="C99" s="5">
        <v>0</v>
      </c>
      <c r="D99" s="39">
        <v>0</v>
      </c>
      <c r="E99" s="40">
        <v>0</v>
      </c>
      <c r="F99" s="39">
        <v>0</v>
      </c>
      <c r="G99" s="40">
        <v>1</v>
      </c>
      <c r="H99" s="39">
        <v>0.023255813953488372</v>
      </c>
      <c r="I99" s="40">
        <v>0</v>
      </c>
      <c r="J99" s="39">
        <v>0</v>
      </c>
      <c r="K99" s="40">
        <v>0</v>
      </c>
      <c r="L99" s="39">
        <v>0</v>
      </c>
      <c r="M99" s="40">
        <v>0</v>
      </c>
      <c r="N99" s="39">
        <v>0</v>
      </c>
      <c r="O99" s="54">
        <v>1</v>
      </c>
      <c r="P99" s="61">
        <v>0.005617977528089888</v>
      </c>
      <c r="R99" s="66"/>
      <c r="S99" s="65"/>
      <c r="T99" s="66"/>
      <c r="U99" s="65"/>
      <c r="V99" s="66"/>
      <c r="W99" s="65"/>
      <c r="X99" s="66"/>
      <c r="Y99" s="67"/>
      <c r="Z99" s="26"/>
    </row>
    <row r="100" spans="2:26" ht="12.75" customHeight="1">
      <c r="B100" s="38" t="s">
        <v>145</v>
      </c>
      <c r="C100" s="5">
        <v>0</v>
      </c>
      <c r="D100" s="39">
        <v>0</v>
      </c>
      <c r="E100" s="40">
        <v>1</v>
      </c>
      <c r="F100" s="39">
        <v>0.043478260869565216</v>
      </c>
      <c r="G100" s="40">
        <v>0</v>
      </c>
      <c r="H100" s="39">
        <v>0</v>
      </c>
      <c r="I100" s="40">
        <v>0</v>
      </c>
      <c r="J100" s="39">
        <v>0</v>
      </c>
      <c r="K100" s="40">
        <v>0</v>
      </c>
      <c r="L100" s="39">
        <v>0</v>
      </c>
      <c r="M100" s="40">
        <v>0</v>
      </c>
      <c r="N100" s="39">
        <v>0</v>
      </c>
      <c r="O100" s="54">
        <v>1</v>
      </c>
      <c r="P100" s="61">
        <v>0.005617977528089888</v>
      </c>
      <c r="R100" s="66"/>
      <c r="S100" s="65"/>
      <c r="T100" s="66"/>
      <c r="U100" s="65"/>
      <c r="V100" s="66"/>
      <c r="W100" s="65"/>
      <c r="X100" s="66"/>
      <c r="Y100" s="67"/>
      <c r="Z100" s="26"/>
    </row>
    <row r="101" spans="2:26" ht="12.75" customHeight="1">
      <c r="B101" s="38" t="s">
        <v>146</v>
      </c>
      <c r="C101" s="5">
        <v>1</v>
      </c>
      <c r="D101" s="39">
        <v>0.022222222222222223</v>
      </c>
      <c r="E101" s="40">
        <v>0</v>
      </c>
      <c r="F101" s="39">
        <v>0</v>
      </c>
      <c r="G101" s="40">
        <v>0</v>
      </c>
      <c r="H101" s="39">
        <v>0</v>
      </c>
      <c r="I101" s="40">
        <v>0</v>
      </c>
      <c r="J101" s="39">
        <v>0</v>
      </c>
      <c r="K101" s="40">
        <v>0</v>
      </c>
      <c r="L101" s="39">
        <v>0</v>
      </c>
      <c r="M101" s="40">
        <v>0</v>
      </c>
      <c r="N101" s="39">
        <v>0</v>
      </c>
      <c r="O101" s="54">
        <v>1</v>
      </c>
      <c r="P101" s="61">
        <v>0.005617977528089888</v>
      </c>
      <c r="R101" s="66"/>
      <c r="S101" s="65"/>
      <c r="T101" s="66"/>
      <c r="U101" s="65"/>
      <c r="V101" s="66"/>
      <c r="W101" s="65"/>
      <c r="X101" s="66"/>
      <c r="Y101" s="67"/>
      <c r="Z101" s="26"/>
    </row>
    <row r="102" spans="2:26" ht="12.75" customHeight="1">
      <c r="B102" s="38" t="s">
        <v>147</v>
      </c>
      <c r="C102" s="5">
        <v>0</v>
      </c>
      <c r="D102" s="39">
        <v>0</v>
      </c>
      <c r="E102" s="40">
        <v>0</v>
      </c>
      <c r="F102" s="39">
        <v>0</v>
      </c>
      <c r="G102" s="40">
        <v>0</v>
      </c>
      <c r="H102" s="39">
        <v>0</v>
      </c>
      <c r="I102" s="40">
        <v>0</v>
      </c>
      <c r="J102" s="39">
        <v>0</v>
      </c>
      <c r="K102" s="40">
        <v>1</v>
      </c>
      <c r="L102" s="39">
        <v>0.022222222222222223</v>
      </c>
      <c r="M102" s="40">
        <v>0</v>
      </c>
      <c r="N102" s="39">
        <v>0</v>
      </c>
      <c r="O102" s="54">
        <v>1</v>
      </c>
      <c r="P102" s="61">
        <v>0.005617977528089888</v>
      </c>
      <c r="R102" s="66"/>
      <c r="S102" s="65"/>
      <c r="T102" s="66"/>
      <c r="U102" s="65"/>
      <c r="V102" s="66"/>
      <c r="W102" s="65"/>
      <c r="X102" s="66"/>
      <c r="Y102" s="67"/>
      <c r="Z102" s="26"/>
    </row>
    <row r="103" spans="2:26" ht="12.75" customHeight="1">
      <c r="B103" s="38" t="s">
        <v>79</v>
      </c>
      <c r="C103" s="5">
        <v>0</v>
      </c>
      <c r="D103" s="39">
        <v>0</v>
      </c>
      <c r="E103" s="40">
        <v>0</v>
      </c>
      <c r="F103" s="39">
        <v>0</v>
      </c>
      <c r="G103" s="40">
        <v>1</v>
      </c>
      <c r="H103" s="39">
        <v>0.023255813953488372</v>
      </c>
      <c r="I103" s="40">
        <v>0</v>
      </c>
      <c r="J103" s="39">
        <v>0</v>
      </c>
      <c r="K103" s="40">
        <v>0</v>
      </c>
      <c r="L103" s="39">
        <v>0</v>
      </c>
      <c r="M103" s="40">
        <v>0</v>
      </c>
      <c r="N103" s="39">
        <v>0</v>
      </c>
      <c r="O103" s="54">
        <v>1</v>
      </c>
      <c r="P103" s="61">
        <v>0.005617977528089888</v>
      </c>
      <c r="R103" s="66"/>
      <c r="S103" s="65"/>
      <c r="T103" s="66"/>
      <c r="U103" s="65"/>
      <c r="V103" s="66"/>
      <c r="W103" s="65"/>
      <c r="X103" s="66"/>
      <c r="Y103" s="67"/>
      <c r="Z103" s="26"/>
    </row>
    <row r="104" spans="2:26" ht="12.75" customHeight="1">
      <c r="B104" s="38" t="s">
        <v>148</v>
      </c>
      <c r="C104" s="5">
        <v>0</v>
      </c>
      <c r="D104" s="39">
        <v>0</v>
      </c>
      <c r="E104" s="40">
        <v>0</v>
      </c>
      <c r="F104" s="39">
        <v>0</v>
      </c>
      <c r="G104" s="40">
        <v>0</v>
      </c>
      <c r="H104" s="39">
        <v>0</v>
      </c>
      <c r="I104" s="40">
        <v>0</v>
      </c>
      <c r="J104" s="39">
        <v>0</v>
      </c>
      <c r="K104" s="40">
        <v>1</v>
      </c>
      <c r="L104" s="39">
        <v>0.022222222222222223</v>
      </c>
      <c r="M104" s="40">
        <v>0</v>
      </c>
      <c r="N104" s="39">
        <v>0</v>
      </c>
      <c r="O104" s="54">
        <v>1</v>
      </c>
      <c r="P104" s="61">
        <v>0.005617977528089888</v>
      </c>
      <c r="R104" s="66"/>
      <c r="S104" s="65"/>
      <c r="T104" s="66"/>
      <c r="U104" s="65"/>
      <c r="V104" s="66"/>
      <c r="W104" s="65"/>
      <c r="X104" s="66"/>
      <c r="Y104" s="67"/>
      <c r="Z104" s="26"/>
    </row>
    <row r="105" spans="2:26" ht="12.75" customHeight="1">
      <c r="B105" s="38" t="s">
        <v>149</v>
      </c>
      <c r="C105" s="5">
        <v>0</v>
      </c>
      <c r="D105" s="39">
        <v>0</v>
      </c>
      <c r="E105" s="40">
        <v>1</v>
      </c>
      <c r="F105" s="39">
        <v>0.043478260869565216</v>
      </c>
      <c r="G105" s="40">
        <v>0</v>
      </c>
      <c r="H105" s="39">
        <v>0</v>
      </c>
      <c r="I105" s="40">
        <v>0</v>
      </c>
      <c r="J105" s="39">
        <v>0</v>
      </c>
      <c r="K105" s="40">
        <v>0</v>
      </c>
      <c r="L105" s="39">
        <v>0</v>
      </c>
      <c r="M105" s="40">
        <v>0</v>
      </c>
      <c r="N105" s="39">
        <v>0</v>
      </c>
      <c r="O105" s="54">
        <v>1</v>
      </c>
      <c r="P105" s="61">
        <v>0.005617977528089888</v>
      </c>
      <c r="R105" s="66"/>
      <c r="S105" s="65"/>
      <c r="T105" s="66"/>
      <c r="U105" s="65"/>
      <c r="V105" s="66"/>
      <c r="W105" s="65"/>
      <c r="X105" s="66"/>
      <c r="Y105" s="67"/>
      <c r="Z105" s="26"/>
    </row>
    <row r="106" spans="2:26" ht="12.75" customHeight="1">
      <c r="B106" s="38" t="s">
        <v>150</v>
      </c>
      <c r="C106" s="5">
        <v>0</v>
      </c>
      <c r="D106" s="39">
        <v>0</v>
      </c>
      <c r="E106" s="40">
        <v>1</v>
      </c>
      <c r="F106" s="39">
        <v>0.043478260869565216</v>
      </c>
      <c r="G106" s="40">
        <v>0</v>
      </c>
      <c r="H106" s="39">
        <v>0</v>
      </c>
      <c r="I106" s="40">
        <v>0</v>
      </c>
      <c r="J106" s="39">
        <v>0</v>
      </c>
      <c r="K106" s="40">
        <v>0</v>
      </c>
      <c r="L106" s="39">
        <v>0</v>
      </c>
      <c r="M106" s="40">
        <v>0</v>
      </c>
      <c r="N106" s="39">
        <v>0</v>
      </c>
      <c r="O106" s="54">
        <v>1</v>
      </c>
      <c r="P106" s="61">
        <v>0.005617977528089888</v>
      </c>
      <c r="R106" s="66"/>
      <c r="S106" s="65"/>
      <c r="T106" s="66"/>
      <c r="U106" s="65"/>
      <c r="V106" s="66"/>
      <c r="W106" s="65"/>
      <c r="X106" s="66"/>
      <c r="Y106" s="67"/>
      <c r="Z106" s="26"/>
    </row>
    <row r="107" spans="2:26" ht="12.75" customHeight="1">
      <c r="B107" s="38" t="s">
        <v>80</v>
      </c>
      <c r="C107" s="5">
        <v>0</v>
      </c>
      <c r="D107" s="39">
        <v>0</v>
      </c>
      <c r="E107" s="40">
        <v>0</v>
      </c>
      <c r="F107" s="39">
        <v>0</v>
      </c>
      <c r="G107" s="40">
        <v>0</v>
      </c>
      <c r="H107" s="39">
        <v>0</v>
      </c>
      <c r="I107" s="40">
        <v>0</v>
      </c>
      <c r="J107" s="39">
        <v>0</v>
      </c>
      <c r="K107" s="40">
        <v>1</v>
      </c>
      <c r="L107" s="39">
        <v>0.022222222222222223</v>
      </c>
      <c r="M107" s="40">
        <v>0</v>
      </c>
      <c r="N107" s="39">
        <v>0</v>
      </c>
      <c r="O107" s="54">
        <v>1</v>
      </c>
      <c r="P107" s="61">
        <v>0.005617977528089888</v>
      </c>
      <c r="R107" s="66"/>
      <c r="S107" s="65"/>
      <c r="T107" s="66"/>
      <c r="U107" s="65"/>
      <c r="V107" s="66"/>
      <c r="W107" s="65"/>
      <c r="X107" s="66"/>
      <c r="Y107" s="67"/>
      <c r="Z107" s="26"/>
    </row>
    <row r="108" spans="2:26" ht="12.75" customHeight="1">
      <c r="B108" s="38" t="s">
        <v>151</v>
      </c>
      <c r="C108" s="5">
        <v>0</v>
      </c>
      <c r="D108" s="39">
        <v>0</v>
      </c>
      <c r="E108" s="40">
        <v>1</v>
      </c>
      <c r="F108" s="39">
        <v>0.043478260869565216</v>
      </c>
      <c r="G108" s="40">
        <v>0</v>
      </c>
      <c r="H108" s="39">
        <v>0</v>
      </c>
      <c r="I108" s="40">
        <v>0</v>
      </c>
      <c r="J108" s="39">
        <v>0</v>
      </c>
      <c r="K108" s="40">
        <v>0</v>
      </c>
      <c r="L108" s="39">
        <v>0</v>
      </c>
      <c r="M108" s="40">
        <v>0</v>
      </c>
      <c r="N108" s="39">
        <v>0</v>
      </c>
      <c r="O108" s="54">
        <v>1</v>
      </c>
      <c r="P108" s="61">
        <v>0.005617977528089888</v>
      </c>
      <c r="R108" s="66"/>
      <c r="S108" s="65"/>
      <c r="T108" s="66"/>
      <c r="U108" s="65"/>
      <c r="V108" s="66"/>
      <c r="W108" s="65"/>
      <c r="X108" s="66"/>
      <c r="Y108" s="67"/>
      <c r="Z108" s="26"/>
    </row>
    <row r="109" spans="2:26" ht="12.75" customHeight="1">
      <c r="B109" s="38" t="s">
        <v>152</v>
      </c>
      <c r="C109" s="5">
        <v>5</v>
      </c>
      <c r="D109" s="39">
        <v>0.1111111111111111</v>
      </c>
      <c r="E109" s="40">
        <v>0</v>
      </c>
      <c r="F109" s="39">
        <v>0</v>
      </c>
      <c r="G109" s="40">
        <v>0</v>
      </c>
      <c r="H109" s="39">
        <v>0</v>
      </c>
      <c r="I109" s="40">
        <v>1</v>
      </c>
      <c r="J109" s="39">
        <v>0.125</v>
      </c>
      <c r="K109" s="40">
        <v>0</v>
      </c>
      <c r="L109" s="39">
        <v>0</v>
      </c>
      <c r="M109" s="40">
        <v>0</v>
      </c>
      <c r="N109" s="39">
        <v>0</v>
      </c>
      <c r="O109" s="54">
        <v>6</v>
      </c>
      <c r="P109" s="55">
        <v>0.033707865168539325</v>
      </c>
      <c r="R109" s="66"/>
      <c r="S109" s="65"/>
      <c r="T109" s="66"/>
      <c r="U109" s="65"/>
      <c r="V109" s="66"/>
      <c r="W109" s="65"/>
      <c r="X109" s="66"/>
      <c r="Y109" s="67"/>
      <c r="Z109" s="26"/>
    </row>
    <row r="110" spans="2:26" ht="12.75" customHeight="1">
      <c r="B110" s="38" t="s">
        <v>153</v>
      </c>
      <c r="C110" s="5">
        <v>4</v>
      </c>
      <c r="D110" s="39">
        <v>0.08888888888888889</v>
      </c>
      <c r="E110" s="40">
        <v>0</v>
      </c>
      <c r="F110" s="39">
        <v>0</v>
      </c>
      <c r="G110" s="40">
        <v>3</v>
      </c>
      <c r="H110" s="39">
        <v>0.06976744186046512</v>
      </c>
      <c r="I110" s="40">
        <v>0</v>
      </c>
      <c r="J110" s="39">
        <v>0</v>
      </c>
      <c r="K110" s="40">
        <v>1</v>
      </c>
      <c r="L110" s="39">
        <v>0.022222222222222223</v>
      </c>
      <c r="M110" s="40">
        <v>0</v>
      </c>
      <c r="N110" s="39">
        <v>0</v>
      </c>
      <c r="O110" s="54">
        <v>8</v>
      </c>
      <c r="P110" s="55">
        <v>0.04494382022471911</v>
      </c>
      <c r="R110" s="66"/>
      <c r="S110" s="65"/>
      <c r="T110" s="66"/>
      <c r="U110" s="65"/>
      <c r="V110" s="66"/>
      <c r="W110" s="65"/>
      <c r="X110" s="66"/>
      <c r="Y110" s="67"/>
      <c r="Z110" s="26"/>
    </row>
    <row r="111" spans="2:26" ht="12.75" customHeight="1">
      <c r="B111" s="38" t="s">
        <v>154</v>
      </c>
      <c r="C111" s="5">
        <v>0</v>
      </c>
      <c r="D111" s="39">
        <v>0</v>
      </c>
      <c r="E111" s="40">
        <v>0</v>
      </c>
      <c r="F111" s="39">
        <v>0</v>
      </c>
      <c r="G111" s="40">
        <v>0</v>
      </c>
      <c r="H111" s="39">
        <v>0</v>
      </c>
      <c r="I111" s="40">
        <v>0</v>
      </c>
      <c r="J111" s="39">
        <v>0</v>
      </c>
      <c r="K111" s="40">
        <v>1</v>
      </c>
      <c r="L111" s="39">
        <v>0.022222222222222223</v>
      </c>
      <c r="M111" s="40">
        <v>0</v>
      </c>
      <c r="N111" s="39">
        <v>0</v>
      </c>
      <c r="O111" s="54">
        <v>1</v>
      </c>
      <c r="P111" s="61">
        <v>0.005617977528089888</v>
      </c>
      <c r="R111" s="66"/>
      <c r="S111" s="65"/>
      <c r="T111" s="66"/>
      <c r="U111" s="65"/>
      <c r="V111" s="66"/>
      <c r="W111" s="65"/>
      <c r="X111" s="66"/>
      <c r="Y111" s="67"/>
      <c r="Z111" s="26"/>
    </row>
    <row r="112" spans="2:26" ht="12.75" customHeight="1">
      <c r="B112" s="38" t="s">
        <v>155</v>
      </c>
      <c r="C112" s="5">
        <v>0</v>
      </c>
      <c r="D112" s="39">
        <v>0</v>
      </c>
      <c r="E112" s="40">
        <v>0</v>
      </c>
      <c r="F112" s="39">
        <v>0</v>
      </c>
      <c r="G112" s="40">
        <v>0</v>
      </c>
      <c r="H112" s="39">
        <v>0</v>
      </c>
      <c r="I112" s="40">
        <v>0</v>
      </c>
      <c r="J112" s="39">
        <v>0</v>
      </c>
      <c r="K112" s="40">
        <v>1</v>
      </c>
      <c r="L112" s="39">
        <v>0.022222222222222223</v>
      </c>
      <c r="M112" s="40">
        <v>0</v>
      </c>
      <c r="N112" s="39">
        <v>0</v>
      </c>
      <c r="O112" s="54">
        <v>1</v>
      </c>
      <c r="P112" s="61">
        <v>0.005617977528089888</v>
      </c>
      <c r="R112" s="66"/>
      <c r="S112" s="65"/>
      <c r="T112" s="66"/>
      <c r="U112" s="65"/>
      <c r="V112" s="66"/>
      <c r="W112" s="65"/>
      <c r="X112" s="66"/>
      <c r="Y112" s="67"/>
      <c r="Z112" s="26"/>
    </row>
    <row r="113" spans="2:26" ht="12.75" customHeight="1">
      <c r="B113" s="38" t="s">
        <v>81</v>
      </c>
      <c r="C113" s="5">
        <v>4</v>
      </c>
      <c r="D113" s="39">
        <v>0.08888888888888889</v>
      </c>
      <c r="E113" s="40">
        <v>0</v>
      </c>
      <c r="F113" s="39">
        <v>0</v>
      </c>
      <c r="G113" s="40">
        <v>2</v>
      </c>
      <c r="H113" s="39">
        <v>0.046511627906976744</v>
      </c>
      <c r="I113" s="40">
        <v>0</v>
      </c>
      <c r="J113" s="39">
        <v>0</v>
      </c>
      <c r="K113" s="40">
        <v>0</v>
      </c>
      <c r="L113" s="39">
        <v>0</v>
      </c>
      <c r="M113" s="40">
        <v>3</v>
      </c>
      <c r="N113" s="39">
        <v>0.21428571428571427</v>
      </c>
      <c r="O113" s="54">
        <v>9</v>
      </c>
      <c r="P113" s="55">
        <v>0.05056179775280898</v>
      </c>
      <c r="R113" s="66"/>
      <c r="S113" s="65"/>
      <c r="T113" s="66"/>
      <c r="U113" s="65"/>
      <c r="V113" s="66"/>
      <c r="W113" s="65"/>
      <c r="X113" s="66"/>
      <c r="Y113" s="67"/>
      <c r="Z113" s="26"/>
    </row>
    <row r="114" spans="2:26" ht="12.75" customHeight="1">
      <c r="B114" s="38" t="s">
        <v>156</v>
      </c>
      <c r="C114" s="5">
        <v>1</v>
      </c>
      <c r="D114" s="39">
        <v>0.022222222222222223</v>
      </c>
      <c r="E114" s="40">
        <v>0</v>
      </c>
      <c r="F114" s="39">
        <v>0</v>
      </c>
      <c r="G114" s="40">
        <v>0</v>
      </c>
      <c r="H114" s="39">
        <v>0</v>
      </c>
      <c r="I114" s="40">
        <v>0</v>
      </c>
      <c r="J114" s="39">
        <v>0</v>
      </c>
      <c r="K114" s="40">
        <v>0</v>
      </c>
      <c r="L114" s="39">
        <v>0</v>
      </c>
      <c r="M114" s="40">
        <v>0</v>
      </c>
      <c r="N114" s="39">
        <v>0</v>
      </c>
      <c r="O114" s="54">
        <v>1</v>
      </c>
      <c r="P114" s="61">
        <v>0.005617977528089888</v>
      </c>
      <c r="R114" s="66"/>
      <c r="S114" s="65"/>
      <c r="T114" s="66"/>
      <c r="U114" s="65"/>
      <c r="V114" s="66"/>
      <c r="W114" s="65"/>
      <c r="X114" s="66"/>
      <c r="Y114" s="67"/>
      <c r="Z114" s="26"/>
    </row>
    <row r="115" spans="2:26" ht="12.75" customHeight="1">
      <c r="B115" s="38" t="s">
        <v>157</v>
      </c>
      <c r="C115" s="5">
        <v>0</v>
      </c>
      <c r="D115" s="39">
        <v>0</v>
      </c>
      <c r="E115" s="40">
        <v>1</v>
      </c>
      <c r="F115" s="39">
        <v>0.043478260869565216</v>
      </c>
      <c r="G115" s="40">
        <v>0</v>
      </c>
      <c r="H115" s="39">
        <v>0</v>
      </c>
      <c r="I115" s="40">
        <v>0</v>
      </c>
      <c r="J115" s="39">
        <v>0</v>
      </c>
      <c r="K115" s="40">
        <v>0</v>
      </c>
      <c r="L115" s="39">
        <v>0</v>
      </c>
      <c r="M115" s="40">
        <v>0</v>
      </c>
      <c r="N115" s="39">
        <v>0</v>
      </c>
      <c r="O115" s="54">
        <v>1</v>
      </c>
      <c r="P115" s="61">
        <v>0.005617977528089888</v>
      </c>
      <c r="R115" s="66"/>
      <c r="S115" s="65"/>
      <c r="T115" s="66"/>
      <c r="U115" s="65"/>
      <c r="V115" s="66"/>
      <c r="W115" s="65"/>
      <c r="X115" s="66"/>
      <c r="Y115" s="67"/>
      <c r="Z115" s="26"/>
    </row>
    <row r="116" spans="2:26" ht="12.75" customHeight="1">
      <c r="B116" s="38" t="s">
        <v>158</v>
      </c>
      <c r="C116" s="5">
        <v>1</v>
      </c>
      <c r="D116" s="39">
        <v>0.022222222222222223</v>
      </c>
      <c r="E116" s="40">
        <v>0</v>
      </c>
      <c r="F116" s="39">
        <v>0</v>
      </c>
      <c r="G116" s="40">
        <v>0</v>
      </c>
      <c r="H116" s="39">
        <v>0</v>
      </c>
      <c r="I116" s="40">
        <v>0</v>
      </c>
      <c r="J116" s="39">
        <v>0</v>
      </c>
      <c r="K116" s="40">
        <v>0</v>
      </c>
      <c r="L116" s="39">
        <v>0</v>
      </c>
      <c r="M116" s="40">
        <v>0</v>
      </c>
      <c r="N116" s="39">
        <v>0</v>
      </c>
      <c r="O116" s="54">
        <v>1</v>
      </c>
      <c r="P116" s="61">
        <v>0.005617977528089888</v>
      </c>
      <c r="R116" s="66"/>
      <c r="S116" s="65"/>
      <c r="T116" s="66"/>
      <c r="U116" s="65"/>
      <c r="V116" s="66"/>
      <c r="W116" s="65"/>
      <c r="X116" s="66"/>
      <c r="Y116" s="67"/>
      <c r="Z116" s="26"/>
    </row>
    <row r="117" spans="2:26" ht="12.75" customHeight="1">
      <c r="B117" s="38" t="s">
        <v>159</v>
      </c>
      <c r="C117" s="5">
        <v>1</v>
      </c>
      <c r="D117" s="39">
        <v>0.022222222222222223</v>
      </c>
      <c r="E117" s="40">
        <v>1</v>
      </c>
      <c r="F117" s="39">
        <v>0.043478260869565216</v>
      </c>
      <c r="G117" s="40">
        <v>1</v>
      </c>
      <c r="H117" s="39">
        <v>0.023255813953488372</v>
      </c>
      <c r="I117" s="40">
        <v>0</v>
      </c>
      <c r="J117" s="39">
        <v>0</v>
      </c>
      <c r="K117" s="40">
        <v>0</v>
      </c>
      <c r="L117" s="39">
        <v>0</v>
      </c>
      <c r="M117" s="40">
        <v>0</v>
      </c>
      <c r="N117" s="39">
        <v>0</v>
      </c>
      <c r="O117" s="54">
        <v>3</v>
      </c>
      <c r="P117" s="55">
        <v>0.016853932584269662</v>
      </c>
      <c r="R117" s="66"/>
      <c r="S117" s="65"/>
      <c r="T117" s="66"/>
      <c r="U117" s="65"/>
      <c r="V117" s="66"/>
      <c r="W117" s="65"/>
      <c r="X117" s="66"/>
      <c r="Y117" s="67"/>
      <c r="Z117" s="26"/>
    </row>
    <row r="118" spans="2:26" ht="12.75" customHeight="1">
      <c r="B118" s="38" t="s">
        <v>160</v>
      </c>
      <c r="C118" s="5">
        <v>0</v>
      </c>
      <c r="D118" s="39">
        <v>0</v>
      </c>
      <c r="E118" s="40">
        <v>0</v>
      </c>
      <c r="F118" s="39">
        <v>0</v>
      </c>
      <c r="G118" s="40">
        <v>0</v>
      </c>
      <c r="H118" s="39">
        <v>0</v>
      </c>
      <c r="I118" s="40">
        <v>0</v>
      </c>
      <c r="J118" s="39">
        <v>0</v>
      </c>
      <c r="K118" s="40">
        <v>1</v>
      </c>
      <c r="L118" s="39">
        <v>0.022222222222222223</v>
      </c>
      <c r="M118" s="40">
        <v>0</v>
      </c>
      <c r="N118" s="39">
        <v>0</v>
      </c>
      <c r="O118" s="54">
        <v>1</v>
      </c>
      <c r="P118" s="61">
        <v>0.005617977528089888</v>
      </c>
      <c r="R118" s="66"/>
      <c r="S118" s="65"/>
      <c r="T118" s="66"/>
      <c r="U118" s="65"/>
      <c r="V118" s="66"/>
      <c r="W118" s="65"/>
      <c r="X118" s="66"/>
      <c r="Y118" s="67"/>
      <c r="Z118" s="26"/>
    </row>
    <row r="119" spans="2:26" ht="12.75" customHeight="1">
      <c r="B119" s="38" t="s">
        <v>161</v>
      </c>
      <c r="C119" s="5">
        <v>0</v>
      </c>
      <c r="D119" s="39">
        <v>0</v>
      </c>
      <c r="E119" s="40">
        <v>0</v>
      </c>
      <c r="F119" s="39">
        <v>0</v>
      </c>
      <c r="G119" s="40">
        <v>0</v>
      </c>
      <c r="H119" s="39">
        <v>0</v>
      </c>
      <c r="I119" s="40">
        <v>0</v>
      </c>
      <c r="J119" s="39">
        <v>0</v>
      </c>
      <c r="K119" s="40">
        <v>0</v>
      </c>
      <c r="L119" s="39">
        <v>0</v>
      </c>
      <c r="M119" s="40">
        <v>1</v>
      </c>
      <c r="N119" s="39">
        <v>0.07142857142857142</v>
      </c>
      <c r="O119" s="54">
        <v>1</v>
      </c>
      <c r="P119" s="61">
        <v>0.005617977528089888</v>
      </c>
      <c r="R119" s="66"/>
      <c r="S119" s="65"/>
      <c r="T119" s="66"/>
      <c r="U119" s="65"/>
      <c r="V119" s="66"/>
      <c r="W119" s="65"/>
      <c r="X119" s="66"/>
      <c r="Y119" s="67"/>
      <c r="Z119" s="26"/>
    </row>
    <row r="120" spans="2:26" ht="12.75" customHeight="1">
      <c r="B120" s="38" t="s">
        <v>162</v>
      </c>
      <c r="C120" s="5">
        <v>0</v>
      </c>
      <c r="D120" s="39">
        <v>0</v>
      </c>
      <c r="E120" s="40">
        <v>1</v>
      </c>
      <c r="F120" s="39">
        <v>0.043478260869565216</v>
      </c>
      <c r="G120" s="40">
        <v>0</v>
      </c>
      <c r="H120" s="39">
        <v>0</v>
      </c>
      <c r="I120" s="40">
        <v>0</v>
      </c>
      <c r="J120" s="39">
        <v>0</v>
      </c>
      <c r="K120" s="40">
        <v>0</v>
      </c>
      <c r="L120" s="39">
        <v>0</v>
      </c>
      <c r="M120" s="40">
        <v>0</v>
      </c>
      <c r="N120" s="39">
        <v>0</v>
      </c>
      <c r="O120" s="54">
        <v>1</v>
      </c>
      <c r="P120" s="61">
        <v>0.005617977528089888</v>
      </c>
      <c r="R120" s="66"/>
      <c r="S120" s="65"/>
      <c r="T120" s="66"/>
      <c r="U120" s="65"/>
      <c r="V120" s="66"/>
      <c r="W120" s="65"/>
      <c r="X120" s="66"/>
      <c r="Y120" s="67"/>
      <c r="Z120" s="26"/>
    </row>
    <row r="121" spans="2:26" ht="12.75" customHeight="1">
      <c r="B121" s="38" t="s">
        <v>82</v>
      </c>
      <c r="C121" s="5">
        <v>0</v>
      </c>
      <c r="D121" s="39">
        <v>0</v>
      </c>
      <c r="E121" s="40">
        <v>0</v>
      </c>
      <c r="F121" s="39">
        <v>0</v>
      </c>
      <c r="G121" s="40">
        <v>0</v>
      </c>
      <c r="H121" s="39">
        <v>0</v>
      </c>
      <c r="I121" s="40">
        <v>0</v>
      </c>
      <c r="J121" s="39">
        <v>0</v>
      </c>
      <c r="K121" s="40">
        <v>0</v>
      </c>
      <c r="L121" s="39">
        <v>0</v>
      </c>
      <c r="M121" s="40">
        <v>1</v>
      </c>
      <c r="N121" s="39">
        <v>0.07142857142857142</v>
      </c>
      <c r="O121" s="54">
        <v>1</v>
      </c>
      <c r="P121" s="61">
        <v>0.005617977528089888</v>
      </c>
      <c r="R121" s="66"/>
      <c r="S121" s="65"/>
      <c r="T121" s="66"/>
      <c r="U121" s="65"/>
      <c r="V121" s="66"/>
      <c r="W121" s="65"/>
      <c r="X121" s="66"/>
      <c r="Y121" s="67"/>
      <c r="Z121" s="26"/>
    </row>
    <row r="122" spans="2:26" ht="12.75" customHeight="1">
      <c r="B122" s="38" t="s">
        <v>83</v>
      </c>
      <c r="C122" s="5">
        <v>0</v>
      </c>
      <c r="D122" s="39">
        <v>0</v>
      </c>
      <c r="E122" s="40">
        <v>0</v>
      </c>
      <c r="F122" s="39">
        <v>0</v>
      </c>
      <c r="G122" s="40">
        <v>0</v>
      </c>
      <c r="H122" s="39">
        <v>0</v>
      </c>
      <c r="I122" s="40">
        <v>0</v>
      </c>
      <c r="J122" s="39">
        <v>0</v>
      </c>
      <c r="K122" s="40">
        <v>1</v>
      </c>
      <c r="L122" s="39">
        <v>0.022222222222222223</v>
      </c>
      <c r="M122" s="40">
        <v>0</v>
      </c>
      <c r="N122" s="39">
        <v>0</v>
      </c>
      <c r="O122" s="54">
        <v>1</v>
      </c>
      <c r="P122" s="61">
        <v>0.005617977528089888</v>
      </c>
      <c r="R122" s="66"/>
      <c r="S122" s="65"/>
      <c r="T122" s="66"/>
      <c r="U122" s="65"/>
      <c r="V122" s="66"/>
      <c r="W122" s="65"/>
      <c r="X122" s="66"/>
      <c r="Y122" s="67"/>
      <c r="Z122" s="26"/>
    </row>
    <row r="123" spans="2:26" ht="12.75" customHeight="1">
      <c r="B123" s="38" t="s">
        <v>84</v>
      </c>
      <c r="C123" s="5">
        <v>0</v>
      </c>
      <c r="D123" s="39">
        <v>0</v>
      </c>
      <c r="E123" s="40">
        <v>0</v>
      </c>
      <c r="F123" s="39">
        <v>0</v>
      </c>
      <c r="G123" s="40">
        <v>1</v>
      </c>
      <c r="H123" s="39">
        <v>0.023255813953488372</v>
      </c>
      <c r="I123" s="40">
        <v>0</v>
      </c>
      <c r="J123" s="39">
        <v>0</v>
      </c>
      <c r="K123" s="40">
        <v>0</v>
      </c>
      <c r="L123" s="39">
        <v>0</v>
      </c>
      <c r="M123" s="40">
        <v>0</v>
      </c>
      <c r="N123" s="39">
        <v>0</v>
      </c>
      <c r="O123" s="54">
        <v>1</v>
      </c>
      <c r="P123" s="61">
        <v>0.005617977528089888</v>
      </c>
      <c r="R123" s="66"/>
      <c r="S123" s="65"/>
      <c r="T123" s="66"/>
      <c r="U123" s="65"/>
      <c r="V123" s="66"/>
      <c r="W123" s="65"/>
      <c r="X123" s="66"/>
      <c r="Y123" s="67"/>
      <c r="Z123" s="26"/>
    </row>
    <row r="124" spans="2:26" ht="12.75" customHeight="1">
      <c r="B124" s="38" t="s">
        <v>85</v>
      </c>
      <c r="C124" s="5">
        <v>0</v>
      </c>
      <c r="D124" s="39">
        <v>0</v>
      </c>
      <c r="E124" s="40">
        <v>0</v>
      </c>
      <c r="F124" s="39">
        <v>0</v>
      </c>
      <c r="G124" s="40">
        <v>0</v>
      </c>
      <c r="H124" s="39">
        <v>0</v>
      </c>
      <c r="I124" s="40">
        <v>1</v>
      </c>
      <c r="J124" s="39">
        <v>0.125</v>
      </c>
      <c r="K124" s="40">
        <v>1</v>
      </c>
      <c r="L124" s="39">
        <v>0.022222222222222223</v>
      </c>
      <c r="M124" s="40">
        <v>0</v>
      </c>
      <c r="N124" s="39">
        <v>0</v>
      </c>
      <c r="O124" s="54">
        <v>2</v>
      </c>
      <c r="P124" s="55">
        <v>0.011235955056179777</v>
      </c>
      <c r="R124" s="66"/>
      <c r="S124" s="65"/>
      <c r="T124" s="66"/>
      <c r="U124" s="65"/>
      <c r="V124" s="66"/>
      <c r="W124" s="65"/>
      <c r="X124" s="66"/>
      <c r="Y124" s="67"/>
      <c r="Z124" s="26"/>
    </row>
    <row r="125" spans="2:26" ht="12.75" customHeight="1">
      <c r="B125" s="38" t="s">
        <v>163</v>
      </c>
      <c r="C125" s="5">
        <v>0</v>
      </c>
      <c r="D125" s="39">
        <v>0</v>
      </c>
      <c r="E125" s="40">
        <v>0</v>
      </c>
      <c r="F125" s="39">
        <v>0</v>
      </c>
      <c r="G125" s="40">
        <v>1</v>
      </c>
      <c r="H125" s="39">
        <v>0.023255813953488372</v>
      </c>
      <c r="I125" s="40">
        <v>0</v>
      </c>
      <c r="J125" s="39">
        <v>0</v>
      </c>
      <c r="K125" s="40">
        <v>0</v>
      </c>
      <c r="L125" s="39">
        <v>0</v>
      </c>
      <c r="M125" s="40">
        <v>1</v>
      </c>
      <c r="N125" s="39">
        <v>0.07142857142857142</v>
      </c>
      <c r="O125" s="54">
        <v>2</v>
      </c>
      <c r="P125" s="55">
        <v>0.011235955056179777</v>
      </c>
      <c r="R125" s="66"/>
      <c r="S125" s="65"/>
      <c r="T125" s="66"/>
      <c r="U125" s="65"/>
      <c r="V125" s="66"/>
      <c r="W125" s="65"/>
      <c r="X125" s="66"/>
      <c r="Y125" s="67"/>
      <c r="Z125" s="26"/>
    </row>
    <row r="126" spans="2:26" ht="12.75" customHeight="1">
      <c r="B126" s="38" t="s">
        <v>164</v>
      </c>
      <c r="C126" s="5">
        <v>0</v>
      </c>
      <c r="D126" s="39">
        <v>0</v>
      </c>
      <c r="E126" s="40">
        <v>0</v>
      </c>
      <c r="F126" s="39">
        <v>0</v>
      </c>
      <c r="G126" s="40">
        <v>0</v>
      </c>
      <c r="H126" s="39">
        <v>0</v>
      </c>
      <c r="I126" s="40">
        <v>0</v>
      </c>
      <c r="J126" s="39">
        <v>0</v>
      </c>
      <c r="K126" s="40">
        <v>1</v>
      </c>
      <c r="L126" s="39">
        <v>0.022222222222222223</v>
      </c>
      <c r="M126" s="40">
        <v>0</v>
      </c>
      <c r="N126" s="39">
        <v>0</v>
      </c>
      <c r="O126" s="54">
        <v>1</v>
      </c>
      <c r="P126" s="61">
        <v>0.005617977528089888</v>
      </c>
      <c r="R126" s="66"/>
      <c r="S126" s="65"/>
      <c r="T126" s="66"/>
      <c r="U126" s="65"/>
      <c r="V126" s="66"/>
      <c r="W126" s="65"/>
      <c r="X126" s="66"/>
      <c r="Y126" s="67"/>
      <c r="Z126" s="26"/>
    </row>
    <row r="127" spans="2:26" ht="12.75" customHeight="1">
      <c r="B127" s="38" t="s">
        <v>165</v>
      </c>
      <c r="C127" s="5">
        <v>0</v>
      </c>
      <c r="D127" s="39">
        <v>0</v>
      </c>
      <c r="E127" s="40">
        <v>0</v>
      </c>
      <c r="F127" s="39">
        <v>0</v>
      </c>
      <c r="G127" s="40">
        <v>1</v>
      </c>
      <c r="H127" s="39">
        <v>0.023255813953488372</v>
      </c>
      <c r="I127" s="40">
        <v>0</v>
      </c>
      <c r="J127" s="39">
        <v>0</v>
      </c>
      <c r="K127" s="40">
        <v>0</v>
      </c>
      <c r="L127" s="39">
        <v>0</v>
      </c>
      <c r="M127" s="40">
        <v>0</v>
      </c>
      <c r="N127" s="39">
        <v>0</v>
      </c>
      <c r="O127" s="54">
        <v>1</v>
      </c>
      <c r="P127" s="61">
        <v>0.005617977528089888</v>
      </c>
      <c r="R127" s="66"/>
      <c r="S127" s="65"/>
      <c r="T127" s="66"/>
      <c r="U127" s="65"/>
      <c r="V127" s="66"/>
      <c r="W127" s="65"/>
      <c r="X127" s="66"/>
      <c r="Y127" s="67"/>
      <c r="Z127" s="26"/>
    </row>
    <row r="128" spans="2:26" ht="12.75" customHeight="1">
      <c r="B128" s="38" t="s">
        <v>86</v>
      </c>
      <c r="C128" s="5">
        <v>1</v>
      </c>
      <c r="D128" s="39">
        <v>0.022222222222222223</v>
      </c>
      <c r="E128" s="40">
        <v>1</v>
      </c>
      <c r="F128" s="39">
        <v>0.043478260869565216</v>
      </c>
      <c r="G128" s="40">
        <v>0</v>
      </c>
      <c r="H128" s="39">
        <v>0</v>
      </c>
      <c r="I128" s="40">
        <v>0</v>
      </c>
      <c r="J128" s="39">
        <v>0</v>
      </c>
      <c r="K128" s="40">
        <v>0</v>
      </c>
      <c r="L128" s="39">
        <v>0</v>
      </c>
      <c r="M128" s="40">
        <v>0</v>
      </c>
      <c r="N128" s="39">
        <v>0</v>
      </c>
      <c r="O128" s="54">
        <v>2</v>
      </c>
      <c r="P128" s="55">
        <v>0.011235955056179777</v>
      </c>
      <c r="R128" s="66"/>
      <c r="S128" s="65"/>
      <c r="T128" s="66"/>
      <c r="U128" s="65"/>
      <c r="V128" s="66"/>
      <c r="W128" s="65"/>
      <c r="X128" s="66"/>
      <c r="Y128" s="67"/>
      <c r="Z128" s="26"/>
    </row>
    <row r="129" spans="2:26" ht="12.75" customHeight="1">
      <c r="B129" s="38" t="s">
        <v>166</v>
      </c>
      <c r="C129" s="5">
        <v>0</v>
      </c>
      <c r="D129" s="39">
        <v>0</v>
      </c>
      <c r="E129" s="40">
        <v>0</v>
      </c>
      <c r="F129" s="39">
        <v>0</v>
      </c>
      <c r="G129" s="40">
        <v>2</v>
      </c>
      <c r="H129" s="39">
        <v>0.046511627906976744</v>
      </c>
      <c r="I129" s="40">
        <v>0</v>
      </c>
      <c r="J129" s="39">
        <v>0</v>
      </c>
      <c r="K129" s="40">
        <v>0</v>
      </c>
      <c r="L129" s="39">
        <v>0</v>
      </c>
      <c r="M129" s="40">
        <v>0</v>
      </c>
      <c r="N129" s="39">
        <v>0</v>
      </c>
      <c r="O129" s="54">
        <v>2</v>
      </c>
      <c r="P129" s="55">
        <v>0.011235955056179777</v>
      </c>
      <c r="R129" s="66"/>
      <c r="S129" s="65"/>
      <c r="T129" s="66"/>
      <c r="U129" s="65"/>
      <c r="V129" s="66"/>
      <c r="W129" s="65"/>
      <c r="X129" s="66"/>
      <c r="Y129" s="67"/>
      <c r="Z129" s="26"/>
    </row>
    <row r="130" spans="2:26" ht="12.75" customHeight="1">
      <c r="B130" s="38" t="s">
        <v>167</v>
      </c>
      <c r="C130" s="5">
        <v>0</v>
      </c>
      <c r="D130" s="39">
        <v>0</v>
      </c>
      <c r="E130" s="40">
        <v>0</v>
      </c>
      <c r="F130" s="39">
        <v>0</v>
      </c>
      <c r="G130" s="40">
        <v>0</v>
      </c>
      <c r="H130" s="39">
        <v>0</v>
      </c>
      <c r="I130" s="40">
        <v>0</v>
      </c>
      <c r="J130" s="39">
        <v>0</v>
      </c>
      <c r="K130" s="40">
        <v>1</v>
      </c>
      <c r="L130" s="39">
        <v>0.022222222222222223</v>
      </c>
      <c r="M130" s="40">
        <v>0</v>
      </c>
      <c r="N130" s="39">
        <v>0</v>
      </c>
      <c r="O130" s="54">
        <v>1</v>
      </c>
      <c r="P130" s="61">
        <v>0.005617977528089888</v>
      </c>
      <c r="R130" s="66"/>
      <c r="S130" s="65"/>
      <c r="T130" s="66"/>
      <c r="U130" s="65"/>
      <c r="V130" s="66"/>
      <c r="W130" s="65"/>
      <c r="X130" s="66"/>
      <c r="Y130" s="67"/>
      <c r="Z130" s="26"/>
    </row>
    <row r="131" spans="2:26" ht="12.75" customHeight="1">
      <c r="B131" s="38" t="s">
        <v>168</v>
      </c>
      <c r="C131" s="5">
        <v>0</v>
      </c>
      <c r="D131" s="39">
        <v>0</v>
      </c>
      <c r="E131" s="40">
        <v>0</v>
      </c>
      <c r="F131" s="39">
        <v>0</v>
      </c>
      <c r="G131" s="40">
        <v>0</v>
      </c>
      <c r="H131" s="39">
        <v>0</v>
      </c>
      <c r="I131" s="40">
        <v>0</v>
      </c>
      <c r="J131" s="39">
        <v>0</v>
      </c>
      <c r="K131" s="40">
        <v>1</v>
      </c>
      <c r="L131" s="39">
        <v>0.022222222222222223</v>
      </c>
      <c r="M131" s="40">
        <v>0</v>
      </c>
      <c r="N131" s="39">
        <v>0</v>
      </c>
      <c r="O131" s="54">
        <v>1</v>
      </c>
      <c r="P131" s="61">
        <v>0.005617977528089888</v>
      </c>
      <c r="R131" s="66"/>
      <c r="S131" s="65"/>
      <c r="T131" s="66"/>
      <c r="U131" s="65"/>
      <c r="V131" s="66"/>
      <c r="W131" s="65"/>
      <c r="X131" s="66"/>
      <c r="Y131" s="67"/>
      <c r="Z131" s="26"/>
    </row>
    <row r="132" spans="2:26" ht="12.75" customHeight="1">
      <c r="B132" s="38" t="s">
        <v>169</v>
      </c>
      <c r="C132" s="5">
        <v>0</v>
      </c>
      <c r="D132" s="39">
        <v>0</v>
      </c>
      <c r="E132" s="40">
        <v>0</v>
      </c>
      <c r="F132" s="39">
        <v>0</v>
      </c>
      <c r="G132" s="40">
        <v>0</v>
      </c>
      <c r="H132" s="39">
        <v>0</v>
      </c>
      <c r="I132" s="40">
        <v>0</v>
      </c>
      <c r="J132" s="39">
        <v>0</v>
      </c>
      <c r="K132" s="40">
        <v>1</v>
      </c>
      <c r="L132" s="39">
        <v>0.022222222222222223</v>
      </c>
      <c r="M132" s="40">
        <v>0</v>
      </c>
      <c r="N132" s="39">
        <v>0</v>
      </c>
      <c r="O132" s="54">
        <v>1</v>
      </c>
      <c r="P132" s="61">
        <v>0.005617977528089888</v>
      </c>
      <c r="R132" s="66"/>
      <c r="S132" s="65"/>
      <c r="T132" s="66"/>
      <c r="U132" s="65"/>
      <c r="V132" s="66"/>
      <c r="W132" s="65"/>
      <c r="X132" s="66"/>
      <c r="Y132" s="67"/>
      <c r="Z132" s="26"/>
    </row>
    <row r="133" spans="2:26" ht="12.75" customHeight="1">
      <c r="B133" s="38" t="s">
        <v>9</v>
      </c>
      <c r="C133" s="5">
        <v>1</v>
      </c>
      <c r="D133" s="39">
        <v>0.022222222222222223</v>
      </c>
      <c r="E133" s="40">
        <v>0</v>
      </c>
      <c r="F133" s="39">
        <v>0</v>
      </c>
      <c r="G133" s="40">
        <v>0</v>
      </c>
      <c r="H133" s="39">
        <v>0</v>
      </c>
      <c r="I133" s="40">
        <v>0</v>
      </c>
      <c r="J133" s="39">
        <v>0</v>
      </c>
      <c r="K133" s="40">
        <v>6</v>
      </c>
      <c r="L133" s="39">
        <v>0.13333333333333333</v>
      </c>
      <c r="M133" s="40">
        <v>0</v>
      </c>
      <c r="N133" s="39">
        <v>0</v>
      </c>
      <c r="O133" s="54">
        <v>7</v>
      </c>
      <c r="P133" s="61">
        <v>0.03932584269662921</v>
      </c>
      <c r="R133" s="66"/>
      <c r="S133" s="65"/>
      <c r="T133" s="66"/>
      <c r="U133" s="65"/>
      <c r="V133" s="66"/>
      <c r="W133" s="65"/>
      <c r="X133" s="66"/>
      <c r="Y133" s="67"/>
      <c r="Z133" s="26"/>
    </row>
    <row r="134" spans="2:26" ht="12.75" customHeight="1" thickBot="1">
      <c r="B134" s="1" t="s">
        <v>3</v>
      </c>
      <c r="C134" s="6">
        <v>45</v>
      </c>
      <c r="D134" s="7">
        <v>1</v>
      </c>
      <c r="E134" s="8">
        <v>23</v>
      </c>
      <c r="F134" s="7">
        <v>1</v>
      </c>
      <c r="G134" s="8">
        <v>43</v>
      </c>
      <c r="H134" s="7">
        <v>1</v>
      </c>
      <c r="I134" s="8">
        <v>8</v>
      </c>
      <c r="J134" s="7">
        <v>1</v>
      </c>
      <c r="K134" s="8">
        <v>45</v>
      </c>
      <c r="L134" s="7">
        <v>1</v>
      </c>
      <c r="M134" s="8">
        <v>14</v>
      </c>
      <c r="N134" s="7">
        <v>1</v>
      </c>
      <c r="O134" s="56">
        <v>178</v>
      </c>
      <c r="P134" s="57">
        <v>1</v>
      </c>
      <c r="R134" s="66"/>
      <c r="S134" s="65"/>
      <c r="T134" s="66"/>
      <c r="U134" s="65"/>
      <c r="V134" s="66"/>
      <c r="W134" s="65"/>
      <c r="X134" s="66"/>
      <c r="Y134" s="67"/>
      <c r="Z134" s="26"/>
    </row>
    <row r="135" spans="2:26" ht="12.75" customHeight="1" thickTop="1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P135" s="64"/>
      <c r="Q135" s="65"/>
      <c r="R135" s="66"/>
      <c r="S135" s="65"/>
      <c r="T135" s="66"/>
      <c r="U135" s="65"/>
      <c r="V135" s="66"/>
      <c r="W135" s="65"/>
      <c r="X135" s="66"/>
      <c r="Y135" s="67"/>
      <c r="Z135" s="26"/>
    </row>
    <row r="136" spans="2:26" ht="12.75" customHeight="1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P136" s="64"/>
      <c r="Q136" s="65"/>
      <c r="R136" s="66"/>
      <c r="S136" s="65"/>
      <c r="T136" s="66"/>
      <c r="U136" s="65"/>
      <c r="V136" s="66"/>
      <c r="W136" s="65"/>
      <c r="X136" s="66"/>
      <c r="Y136" s="67"/>
      <c r="Z136" s="26"/>
    </row>
    <row r="137" spans="2:26" ht="12.75" customHeight="1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P137" s="64"/>
      <c r="Q137" s="65"/>
      <c r="R137" s="66"/>
      <c r="S137" s="65"/>
      <c r="T137" s="66"/>
      <c r="U137" s="65"/>
      <c r="V137" s="66"/>
      <c r="W137" s="65"/>
      <c r="X137" s="66"/>
      <c r="Y137" s="67"/>
      <c r="Z137" s="26"/>
    </row>
    <row r="138" spans="2:8" ht="29.25" customHeight="1">
      <c r="B138" s="151" t="s">
        <v>52</v>
      </c>
      <c r="C138" s="151"/>
      <c r="D138" s="151"/>
      <c r="E138" s="151"/>
      <c r="F138" s="151"/>
      <c r="G138" s="151"/>
      <c r="H138" s="69"/>
    </row>
    <row r="139" spans="2:12" ht="12.75" customHeight="1" thickBot="1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2:16" ht="12.75" customHeight="1" thickTop="1">
      <c r="B140" s="28" t="s">
        <v>0</v>
      </c>
      <c r="C140" s="139" t="s">
        <v>12</v>
      </c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1"/>
    </row>
    <row r="141" spans="2:16" ht="27" customHeight="1">
      <c r="B141" s="29"/>
      <c r="C141" s="142" t="s">
        <v>89</v>
      </c>
      <c r="D141" s="137"/>
      <c r="E141" s="137" t="s">
        <v>90</v>
      </c>
      <c r="F141" s="137"/>
      <c r="G141" s="137" t="s">
        <v>91</v>
      </c>
      <c r="H141" s="137"/>
      <c r="I141" s="137" t="s">
        <v>92</v>
      </c>
      <c r="J141" s="137"/>
      <c r="K141" s="137" t="s">
        <v>93</v>
      </c>
      <c r="L141" s="137"/>
      <c r="M141" s="137" t="s">
        <v>94</v>
      </c>
      <c r="N141" s="137"/>
      <c r="O141" s="137" t="s">
        <v>3</v>
      </c>
      <c r="P141" s="138"/>
    </row>
    <row r="142" spans="2:16" ht="12.75" customHeight="1" thickBot="1">
      <c r="B142" s="30"/>
      <c r="C142" s="31" t="s">
        <v>4</v>
      </c>
      <c r="D142" s="32" t="s">
        <v>5</v>
      </c>
      <c r="E142" s="32" t="s">
        <v>4</v>
      </c>
      <c r="F142" s="32" t="s">
        <v>5</v>
      </c>
      <c r="G142" s="32" t="s">
        <v>4</v>
      </c>
      <c r="H142" s="32" t="s">
        <v>5</v>
      </c>
      <c r="I142" s="32" t="s">
        <v>4</v>
      </c>
      <c r="J142" s="32" t="s">
        <v>5</v>
      </c>
      <c r="K142" s="32" t="s">
        <v>4</v>
      </c>
      <c r="L142" s="32" t="s">
        <v>5</v>
      </c>
      <c r="M142" s="32" t="s">
        <v>4</v>
      </c>
      <c r="N142" s="32" t="s">
        <v>5</v>
      </c>
      <c r="O142" s="32" t="s">
        <v>4</v>
      </c>
      <c r="P142" s="33" t="s">
        <v>5</v>
      </c>
    </row>
    <row r="143" spans="2:16" ht="12.75" customHeight="1" thickTop="1">
      <c r="B143" s="45" t="s">
        <v>13</v>
      </c>
      <c r="C143" s="2">
        <v>40</v>
      </c>
      <c r="D143" s="3">
        <f>40/45</f>
        <v>0.8888888888888888</v>
      </c>
      <c r="E143" s="4">
        <v>21</v>
      </c>
      <c r="F143" s="3">
        <f>21/23</f>
        <v>0.9130434782608695</v>
      </c>
      <c r="G143" s="4">
        <v>34</v>
      </c>
      <c r="H143" s="3">
        <f>34/43</f>
        <v>0.7906976744186046</v>
      </c>
      <c r="I143" s="4">
        <v>7</v>
      </c>
      <c r="J143" s="3">
        <f>7/8</f>
        <v>0.875</v>
      </c>
      <c r="K143" s="4">
        <v>43</v>
      </c>
      <c r="L143" s="3">
        <f>43/45</f>
        <v>0.9555555555555556</v>
      </c>
      <c r="M143" s="4">
        <v>13</v>
      </c>
      <c r="N143" s="3">
        <f>13/14</f>
        <v>0.9285714285714286</v>
      </c>
      <c r="O143" s="52">
        <v>158</v>
      </c>
      <c r="P143" s="53">
        <f>158/178</f>
        <v>0.8876404494382022</v>
      </c>
    </row>
    <row r="144" spans="2:16" ht="12.75" customHeight="1">
      <c r="B144" s="46" t="s">
        <v>15</v>
      </c>
      <c r="C144" s="5">
        <v>15</v>
      </c>
      <c r="D144" s="39">
        <f>15/45</f>
        <v>0.3333333333333333</v>
      </c>
      <c r="E144" s="40">
        <v>7</v>
      </c>
      <c r="F144" s="39">
        <f>7/23</f>
        <v>0.30434782608695654</v>
      </c>
      <c r="G144" s="40">
        <v>13</v>
      </c>
      <c r="H144" s="39">
        <f>13/43</f>
        <v>0.3023255813953488</v>
      </c>
      <c r="I144" s="40">
        <v>1</v>
      </c>
      <c r="J144" s="39">
        <f>1/8</f>
        <v>0.125</v>
      </c>
      <c r="K144" s="40">
        <v>10</v>
      </c>
      <c r="L144" s="39">
        <f>10/45</f>
        <v>0.2222222222222222</v>
      </c>
      <c r="M144" s="40">
        <v>2</v>
      </c>
      <c r="N144" s="39">
        <f>2/14</f>
        <v>0.14285714285714285</v>
      </c>
      <c r="O144" s="54">
        <v>48</v>
      </c>
      <c r="P144" s="55">
        <f>48/178</f>
        <v>0.2696629213483146</v>
      </c>
    </row>
    <row r="145" spans="2:16" ht="12.75" customHeight="1">
      <c r="B145" s="46" t="s">
        <v>16</v>
      </c>
      <c r="C145" s="5">
        <v>2</v>
      </c>
      <c r="D145" s="39">
        <f>2/45</f>
        <v>0.044444444444444446</v>
      </c>
      <c r="E145" s="40">
        <v>1</v>
      </c>
      <c r="F145" s="39">
        <f>1/23</f>
        <v>0.043478260869565216</v>
      </c>
      <c r="G145" s="40">
        <v>1</v>
      </c>
      <c r="H145" s="39">
        <f>1/43</f>
        <v>0.023255813953488372</v>
      </c>
      <c r="I145" s="40">
        <v>0</v>
      </c>
      <c r="J145" s="39">
        <v>0</v>
      </c>
      <c r="K145" s="40">
        <v>0</v>
      </c>
      <c r="L145" s="39">
        <v>0</v>
      </c>
      <c r="M145" s="40">
        <v>0</v>
      </c>
      <c r="N145" s="39">
        <v>0</v>
      </c>
      <c r="O145" s="54">
        <v>4</v>
      </c>
      <c r="P145" s="55">
        <f>4/178</f>
        <v>0.02247191011235955</v>
      </c>
    </row>
    <row r="146" spans="2:16" ht="12.75" customHeight="1">
      <c r="B146" s="46" t="s">
        <v>17</v>
      </c>
      <c r="C146" s="5">
        <v>7</v>
      </c>
      <c r="D146" s="39">
        <f>7/45</f>
        <v>0.15555555555555556</v>
      </c>
      <c r="E146" s="40">
        <v>1</v>
      </c>
      <c r="F146" s="39">
        <v>0.043</v>
      </c>
      <c r="G146" s="40">
        <v>4</v>
      </c>
      <c r="H146" s="39">
        <f>4/43</f>
        <v>0.09302325581395349</v>
      </c>
      <c r="I146" s="40">
        <v>0</v>
      </c>
      <c r="J146" s="39">
        <v>0</v>
      </c>
      <c r="K146" s="40">
        <v>0</v>
      </c>
      <c r="L146" s="39">
        <v>0</v>
      </c>
      <c r="M146" s="40">
        <v>0</v>
      </c>
      <c r="N146" s="39">
        <v>0</v>
      </c>
      <c r="O146" s="54">
        <v>12</v>
      </c>
      <c r="P146" s="55">
        <f>12/178</f>
        <v>0.06741573033707865</v>
      </c>
    </row>
    <row r="147" spans="2:16" ht="12.75" customHeight="1">
      <c r="B147" s="46" t="s">
        <v>18</v>
      </c>
      <c r="C147" s="5">
        <v>2</v>
      </c>
      <c r="D147" s="39">
        <f>2/45</f>
        <v>0.044444444444444446</v>
      </c>
      <c r="E147" s="40">
        <v>1</v>
      </c>
      <c r="F147" s="39">
        <v>0.043</v>
      </c>
      <c r="G147" s="40">
        <v>1</v>
      </c>
      <c r="H147" s="39">
        <f>1/43</f>
        <v>0.023255813953488372</v>
      </c>
      <c r="I147" s="40">
        <v>1</v>
      </c>
      <c r="J147" s="39">
        <f>1/8</f>
        <v>0.125</v>
      </c>
      <c r="K147" s="40">
        <v>0</v>
      </c>
      <c r="L147" s="39">
        <v>0</v>
      </c>
      <c r="M147" s="40">
        <v>1</v>
      </c>
      <c r="N147" s="39">
        <f>1/14</f>
        <v>0.07142857142857142</v>
      </c>
      <c r="O147" s="54">
        <v>6</v>
      </c>
      <c r="P147" s="55">
        <f>6/178</f>
        <v>0.033707865168539325</v>
      </c>
    </row>
    <row r="148" spans="2:16" ht="12.75" customHeight="1" thickBot="1">
      <c r="B148" s="47" t="s">
        <v>9</v>
      </c>
      <c r="C148" s="6">
        <v>2</v>
      </c>
      <c r="D148" s="7">
        <f>2/45</f>
        <v>0.044444444444444446</v>
      </c>
      <c r="E148" s="8">
        <v>1</v>
      </c>
      <c r="F148" s="7">
        <v>0.043</v>
      </c>
      <c r="G148" s="8">
        <v>2</v>
      </c>
      <c r="H148" s="7">
        <f>2/43</f>
        <v>0.046511627906976744</v>
      </c>
      <c r="I148" s="8">
        <v>0</v>
      </c>
      <c r="J148" s="7">
        <v>0</v>
      </c>
      <c r="K148" s="8">
        <v>0</v>
      </c>
      <c r="L148" s="7">
        <v>0</v>
      </c>
      <c r="M148" s="8">
        <v>0</v>
      </c>
      <c r="N148" s="7">
        <v>0</v>
      </c>
      <c r="O148" s="56">
        <v>5</v>
      </c>
      <c r="P148" s="57">
        <f>5/178</f>
        <v>0.028089887640449437</v>
      </c>
    </row>
    <row r="149" spans="2:12" ht="12.75" customHeight="1" thickTop="1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2:8" ht="12.75" customHeight="1">
      <c r="B150" s="14"/>
      <c r="C150" s="12"/>
      <c r="D150" s="13"/>
      <c r="E150" s="12"/>
      <c r="F150" s="13"/>
      <c r="G150" s="12"/>
      <c r="H150" s="13"/>
    </row>
    <row r="151" spans="2:8" ht="30" customHeight="1">
      <c r="B151" s="151" t="s">
        <v>57</v>
      </c>
      <c r="C151" s="151"/>
      <c r="D151" s="151"/>
      <c r="E151" s="151"/>
      <c r="F151" s="151"/>
      <c r="G151" s="151"/>
      <c r="H151" s="17"/>
    </row>
    <row r="152" ht="12.75" customHeight="1" thickBot="1"/>
    <row r="153" spans="2:16" ht="12.75" customHeight="1" thickTop="1">
      <c r="B153" s="143" t="s">
        <v>0</v>
      </c>
      <c r="C153" s="139" t="s">
        <v>12</v>
      </c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1"/>
    </row>
    <row r="154" spans="2:16" ht="25.5" customHeight="1">
      <c r="B154" s="144"/>
      <c r="C154" s="142" t="s">
        <v>89</v>
      </c>
      <c r="D154" s="137"/>
      <c r="E154" s="137" t="s">
        <v>90</v>
      </c>
      <c r="F154" s="137"/>
      <c r="G154" s="137" t="s">
        <v>91</v>
      </c>
      <c r="H154" s="137"/>
      <c r="I154" s="137" t="s">
        <v>92</v>
      </c>
      <c r="J154" s="137"/>
      <c r="K154" s="137" t="s">
        <v>93</v>
      </c>
      <c r="L154" s="137"/>
      <c r="M154" s="137" t="s">
        <v>94</v>
      </c>
      <c r="N154" s="137"/>
      <c r="O154" s="137" t="s">
        <v>3</v>
      </c>
      <c r="P154" s="138"/>
    </row>
    <row r="155" spans="2:16" ht="12.75" customHeight="1" thickBot="1">
      <c r="B155" s="145"/>
      <c r="C155" s="31" t="s">
        <v>4</v>
      </c>
      <c r="D155" s="32" t="s">
        <v>5</v>
      </c>
      <c r="E155" s="32" t="s">
        <v>4</v>
      </c>
      <c r="F155" s="32" t="s">
        <v>5</v>
      </c>
      <c r="G155" s="32" t="s">
        <v>4</v>
      </c>
      <c r="H155" s="32" t="s">
        <v>5</v>
      </c>
      <c r="I155" s="32" t="s">
        <v>4</v>
      </c>
      <c r="J155" s="32" t="s">
        <v>5</v>
      </c>
      <c r="K155" s="32" t="s">
        <v>4</v>
      </c>
      <c r="L155" s="32" t="s">
        <v>5</v>
      </c>
      <c r="M155" s="32" t="s">
        <v>4</v>
      </c>
      <c r="N155" s="32" t="s">
        <v>5</v>
      </c>
      <c r="O155" s="32" t="s">
        <v>4</v>
      </c>
      <c r="P155" s="33" t="s">
        <v>5</v>
      </c>
    </row>
    <row r="156" spans="2:16" ht="12.75" customHeight="1" thickTop="1">
      <c r="B156" s="37" t="s">
        <v>19</v>
      </c>
      <c r="C156" s="2">
        <v>5</v>
      </c>
      <c r="D156" s="3">
        <v>0.1111111111111111</v>
      </c>
      <c r="E156" s="4">
        <v>4</v>
      </c>
      <c r="F156" s="3">
        <v>0.17391304347826086</v>
      </c>
      <c r="G156" s="4">
        <v>7</v>
      </c>
      <c r="H156" s="3">
        <v>0.16279069767441862</v>
      </c>
      <c r="I156" s="4">
        <v>4</v>
      </c>
      <c r="J156" s="3">
        <v>0.5</v>
      </c>
      <c r="K156" s="4">
        <v>9</v>
      </c>
      <c r="L156" s="3">
        <v>0.2</v>
      </c>
      <c r="M156" s="4">
        <v>2</v>
      </c>
      <c r="N156" s="3">
        <v>0.14285714285714285</v>
      </c>
      <c r="O156" s="52">
        <v>31</v>
      </c>
      <c r="P156" s="53">
        <v>0.17415730337078653</v>
      </c>
    </row>
    <row r="157" spans="2:16" ht="12.75" customHeight="1">
      <c r="B157" s="38" t="s">
        <v>67</v>
      </c>
      <c r="C157" s="5">
        <v>8</v>
      </c>
      <c r="D157" s="39">
        <v>0.17777777777777778</v>
      </c>
      <c r="E157" s="40">
        <v>1</v>
      </c>
      <c r="F157" s="39">
        <v>0.043478260869565216</v>
      </c>
      <c r="G157" s="40">
        <v>7</v>
      </c>
      <c r="H157" s="39">
        <v>0.16279069767441862</v>
      </c>
      <c r="I157" s="40">
        <v>1</v>
      </c>
      <c r="J157" s="39">
        <v>0.125</v>
      </c>
      <c r="K157" s="40">
        <v>7</v>
      </c>
      <c r="L157" s="39">
        <v>0.15555555555555556</v>
      </c>
      <c r="M157" s="40">
        <v>0</v>
      </c>
      <c r="N157" s="39">
        <v>0</v>
      </c>
      <c r="O157" s="54">
        <v>24</v>
      </c>
      <c r="P157" s="55">
        <v>0.1348314606741573</v>
      </c>
    </row>
    <row r="158" spans="2:16" ht="12.75" customHeight="1">
      <c r="B158" s="38" t="s">
        <v>20</v>
      </c>
      <c r="C158" s="5">
        <v>5</v>
      </c>
      <c r="D158" s="39">
        <v>0.1111111111111111</v>
      </c>
      <c r="E158" s="40">
        <v>6</v>
      </c>
      <c r="F158" s="39">
        <v>0.2608695652173913</v>
      </c>
      <c r="G158" s="40">
        <v>7</v>
      </c>
      <c r="H158" s="39">
        <v>0.16279069767441862</v>
      </c>
      <c r="I158" s="40">
        <v>0</v>
      </c>
      <c r="J158" s="39">
        <v>0</v>
      </c>
      <c r="K158" s="40">
        <v>1</v>
      </c>
      <c r="L158" s="39">
        <v>0.022222222222222223</v>
      </c>
      <c r="M158" s="40">
        <v>3</v>
      </c>
      <c r="N158" s="39">
        <v>0.21428571428571427</v>
      </c>
      <c r="O158" s="54">
        <v>22</v>
      </c>
      <c r="P158" s="55">
        <v>0.12359550561797752</v>
      </c>
    </row>
    <row r="159" spans="2:16" ht="12.75" customHeight="1">
      <c r="B159" s="38" t="s">
        <v>21</v>
      </c>
      <c r="C159" s="5">
        <v>23</v>
      </c>
      <c r="D159" s="39">
        <v>0.5111111111111111</v>
      </c>
      <c r="E159" s="40">
        <v>10</v>
      </c>
      <c r="F159" s="39">
        <v>0.43478260869565216</v>
      </c>
      <c r="G159" s="40">
        <v>17</v>
      </c>
      <c r="H159" s="39">
        <v>0.3953488372093023</v>
      </c>
      <c r="I159" s="40">
        <v>3</v>
      </c>
      <c r="J159" s="39">
        <v>0.375</v>
      </c>
      <c r="K159" s="40">
        <v>26</v>
      </c>
      <c r="L159" s="39">
        <v>0.5777777777777777</v>
      </c>
      <c r="M159" s="40">
        <v>9</v>
      </c>
      <c r="N159" s="39">
        <v>0.6428571428571429</v>
      </c>
      <c r="O159" s="54">
        <v>88</v>
      </c>
      <c r="P159" s="55">
        <v>0.4943820224719101</v>
      </c>
    </row>
    <row r="160" spans="2:16" ht="12.75" customHeight="1" thickBot="1">
      <c r="B160" s="1" t="s">
        <v>9</v>
      </c>
      <c r="C160" s="6">
        <v>4</v>
      </c>
      <c r="D160" s="7">
        <v>0.08888888888888889</v>
      </c>
      <c r="E160" s="8">
        <v>2</v>
      </c>
      <c r="F160" s="7">
        <v>0.08695652173913043</v>
      </c>
      <c r="G160" s="8">
        <v>5</v>
      </c>
      <c r="H160" s="7">
        <v>0.11627906976744186</v>
      </c>
      <c r="I160" s="8">
        <v>0</v>
      </c>
      <c r="J160" s="7">
        <v>0</v>
      </c>
      <c r="K160" s="8">
        <v>2</v>
      </c>
      <c r="L160" s="7">
        <v>0.044444444444444446</v>
      </c>
      <c r="M160" s="8">
        <v>0</v>
      </c>
      <c r="N160" s="7">
        <v>0</v>
      </c>
      <c r="O160" s="56">
        <v>13</v>
      </c>
      <c r="P160" s="57">
        <v>0.07303370786516854</v>
      </c>
    </row>
    <row r="161" spans="2:12" ht="12.75" customHeight="1" thickTop="1">
      <c r="B161" s="24"/>
      <c r="C161" s="19"/>
      <c r="D161" s="20"/>
      <c r="E161" s="19"/>
      <c r="F161" s="20"/>
      <c r="G161" s="19"/>
      <c r="H161" s="20"/>
      <c r="I161" s="26"/>
      <c r="J161" s="26"/>
      <c r="K161" s="26"/>
      <c r="L161" s="26"/>
    </row>
    <row r="162" spans="2:8" ht="12.75" customHeight="1">
      <c r="B162" s="14"/>
      <c r="C162" s="12"/>
      <c r="D162" s="13"/>
      <c r="E162" s="12"/>
      <c r="F162" s="13"/>
      <c r="G162" s="12"/>
      <c r="H162" s="13"/>
    </row>
    <row r="163" spans="2:8" ht="25.5" customHeight="1">
      <c r="B163" s="151" t="s">
        <v>53</v>
      </c>
      <c r="C163" s="151"/>
      <c r="D163" s="151"/>
      <c r="E163" s="151"/>
      <c r="F163" s="151"/>
      <c r="G163" s="151"/>
      <c r="H163" s="151"/>
    </row>
    <row r="164" ht="12.75" customHeight="1" thickBot="1"/>
    <row r="165" spans="2:16" ht="12.75" customHeight="1" thickTop="1">
      <c r="B165" s="28" t="s">
        <v>0</v>
      </c>
      <c r="C165" s="139" t="s">
        <v>12</v>
      </c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1"/>
    </row>
    <row r="166" spans="2:16" ht="23.25" customHeight="1">
      <c r="B166" s="29"/>
      <c r="C166" s="142" t="s">
        <v>89</v>
      </c>
      <c r="D166" s="137"/>
      <c r="E166" s="137" t="s">
        <v>90</v>
      </c>
      <c r="F166" s="137"/>
      <c r="G166" s="137" t="s">
        <v>91</v>
      </c>
      <c r="H166" s="137"/>
      <c r="I166" s="137" t="s">
        <v>92</v>
      </c>
      <c r="J166" s="137"/>
      <c r="K166" s="137" t="s">
        <v>93</v>
      </c>
      <c r="L166" s="137"/>
      <c r="M166" s="137" t="s">
        <v>94</v>
      </c>
      <c r="N166" s="137"/>
      <c r="O166" s="137" t="s">
        <v>3</v>
      </c>
      <c r="P166" s="138"/>
    </row>
    <row r="167" spans="2:16" ht="12.75" customHeight="1" thickBot="1">
      <c r="B167" s="30"/>
      <c r="C167" s="31" t="s">
        <v>4</v>
      </c>
      <c r="D167" s="32" t="s">
        <v>5</v>
      </c>
      <c r="E167" s="32" t="s">
        <v>4</v>
      </c>
      <c r="F167" s="32" t="s">
        <v>5</v>
      </c>
      <c r="G167" s="32" t="s">
        <v>4</v>
      </c>
      <c r="H167" s="32" t="s">
        <v>5</v>
      </c>
      <c r="I167" s="32" t="s">
        <v>4</v>
      </c>
      <c r="J167" s="32" t="s">
        <v>5</v>
      </c>
      <c r="K167" s="32" t="s">
        <v>4</v>
      </c>
      <c r="L167" s="32" t="s">
        <v>5</v>
      </c>
      <c r="M167" s="32" t="s">
        <v>4</v>
      </c>
      <c r="N167" s="32" t="s">
        <v>5</v>
      </c>
      <c r="O167" s="32" t="s">
        <v>4</v>
      </c>
      <c r="P167" s="33" t="s">
        <v>5</v>
      </c>
    </row>
    <row r="168" spans="2:16" ht="12.75" customHeight="1" thickTop="1">
      <c r="B168" s="45" t="s">
        <v>68</v>
      </c>
      <c r="C168" s="2">
        <v>22</v>
      </c>
      <c r="D168" s="3">
        <f>22/45</f>
        <v>0.4888888888888889</v>
      </c>
      <c r="E168" s="4">
        <v>0</v>
      </c>
      <c r="F168" s="3">
        <v>0</v>
      </c>
      <c r="G168" s="4">
        <v>5</v>
      </c>
      <c r="H168" s="3">
        <f>5/43</f>
        <v>0.11627906976744186</v>
      </c>
      <c r="I168" s="4">
        <v>7</v>
      </c>
      <c r="J168" s="3">
        <f>7/8</f>
        <v>0.875</v>
      </c>
      <c r="K168" s="4">
        <v>37</v>
      </c>
      <c r="L168" s="3">
        <f>37/45</f>
        <v>0.8222222222222222</v>
      </c>
      <c r="M168" s="4">
        <v>2</v>
      </c>
      <c r="N168" s="3">
        <f>2/14</f>
        <v>0.14285714285714285</v>
      </c>
      <c r="O168" s="52">
        <v>73</v>
      </c>
      <c r="P168" s="53">
        <f>73/178</f>
        <v>0.4101123595505618</v>
      </c>
    </row>
    <row r="169" spans="2:16" ht="12.75" customHeight="1">
      <c r="B169" s="46" t="s">
        <v>22</v>
      </c>
      <c r="C169" s="5">
        <v>11</v>
      </c>
      <c r="D169" s="39">
        <f>11/45</f>
        <v>0.24444444444444444</v>
      </c>
      <c r="E169" s="40">
        <v>6</v>
      </c>
      <c r="F169" s="39">
        <f>6/23</f>
        <v>0.2608695652173913</v>
      </c>
      <c r="G169" s="40">
        <v>5</v>
      </c>
      <c r="H169" s="39">
        <f>5/43</f>
        <v>0.11627906976744186</v>
      </c>
      <c r="I169" s="40">
        <v>0</v>
      </c>
      <c r="J169" s="39">
        <v>0</v>
      </c>
      <c r="K169" s="40">
        <v>15</v>
      </c>
      <c r="L169" s="39">
        <f>15/45</f>
        <v>0.3333333333333333</v>
      </c>
      <c r="M169" s="40">
        <v>2</v>
      </c>
      <c r="N169" s="39">
        <v>0.043</v>
      </c>
      <c r="O169" s="54">
        <v>39</v>
      </c>
      <c r="P169" s="55">
        <f>39/178</f>
        <v>0.21910112359550563</v>
      </c>
    </row>
    <row r="170" spans="2:16" ht="12.75" customHeight="1">
      <c r="B170" s="46" t="s">
        <v>23</v>
      </c>
      <c r="C170" s="5">
        <v>4</v>
      </c>
      <c r="D170" s="39">
        <f>4/45</f>
        <v>0.08888888888888889</v>
      </c>
      <c r="E170" s="40">
        <v>4</v>
      </c>
      <c r="F170" s="39">
        <f>4/23</f>
        <v>0.17391304347826086</v>
      </c>
      <c r="G170" s="40">
        <v>8</v>
      </c>
      <c r="H170" s="39">
        <f>8/43</f>
        <v>0.18604651162790697</v>
      </c>
      <c r="I170" s="40">
        <v>1</v>
      </c>
      <c r="J170" s="39">
        <f>1/8</f>
        <v>0.125</v>
      </c>
      <c r="K170" s="40">
        <v>0</v>
      </c>
      <c r="L170" s="39">
        <v>0</v>
      </c>
      <c r="M170" s="40">
        <v>2</v>
      </c>
      <c r="N170" s="39">
        <v>0.043</v>
      </c>
      <c r="O170" s="54">
        <v>19</v>
      </c>
      <c r="P170" s="55">
        <f>19/178</f>
        <v>0.10674157303370786</v>
      </c>
    </row>
    <row r="171" spans="2:16" ht="12.75" customHeight="1">
      <c r="B171" s="46" t="s">
        <v>24</v>
      </c>
      <c r="C171" s="5">
        <v>12</v>
      </c>
      <c r="D171" s="39">
        <f>12/45</f>
        <v>0.26666666666666666</v>
      </c>
      <c r="E171" s="40">
        <v>7</v>
      </c>
      <c r="F171" s="39">
        <f>7/23</f>
        <v>0.30434782608695654</v>
      </c>
      <c r="G171" s="40">
        <v>9</v>
      </c>
      <c r="H171" s="39">
        <f>9/43</f>
        <v>0.20930232558139536</v>
      </c>
      <c r="I171" s="40">
        <v>0</v>
      </c>
      <c r="J171" s="39">
        <v>0</v>
      </c>
      <c r="K171" s="40">
        <v>5</v>
      </c>
      <c r="L171" s="39">
        <f>5/45</f>
        <v>0.1111111111111111</v>
      </c>
      <c r="M171" s="40">
        <v>2</v>
      </c>
      <c r="N171" s="39">
        <v>0.043</v>
      </c>
      <c r="O171" s="54">
        <v>35</v>
      </c>
      <c r="P171" s="55">
        <f>35/178</f>
        <v>0.19662921348314608</v>
      </c>
    </row>
    <row r="172" spans="2:16" ht="12.75" customHeight="1">
      <c r="B172" s="46" t="s">
        <v>25</v>
      </c>
      <c r="C172" s="5">
        <v>4</v>
      </c>
      <c r="D172" s="39">
        <f>4/45</f>
        <v>0.08888888888888889</v>
      </c>
      <c r="E172" s="40">
        <v>2</v>
      </c>
      <c r="F172" s="39">
        <f>2/23</f>
        <v>0.08695652173913043</v>
      </c>
      <c r="G172" s="40">
        <v>3</v>
      </c>
      <c r="H172" s="39">
        <f>3/43</f>
        <v>0.06976744186046512</v>
      </c>
      <c r="I172" s="40">
        <v>0</v>
      </c>
      <c r="J172" s="39">
        <v>0</v>
      </c>
      <c r="K172" s="40">
        <v>2</v>
      </c>
      <c r="L172" s="39">
        <f>2/45</f>
        <v>0.044444444444444446</v>
      </c>
      <c r="M172" s="40">
        <v>3</v>
      </c>
      <c r="N172" s="39">
        <f>3/14</f>
        <v>0.21428571428571427</v>
      </c>
      <c r="O172" s="54">
        <v>14</v>
      </c>
      <c r="P172" s="55">
        <f>14/178</f>
        <v>0.07865168539325842</v>
      </c>
    </row>
    <row r="173" spans="2:16" ht="12.75" customHeight="1">
      <c r="B173" s="46" t="s">
        <v>26</v>
      </c>
      <c r="C173" s="5">
        <v>28</v>
      </c>
      <c r="D173" s="39">
        <f>28/45</f>
        <v>0.6222222222222222</v>
      </c>
      <c r="E173" s="40">
        <v>14</v>
      </c>
      <c r="F173" s="39">
        <f>14/23</f>
        <v>0.6086956521739131</v>
      </c>
      <c r="G173" s="40">
        <v>24</v>
      </c>
      <c r="H173" s="39">
        <f>24/43</f>
        <v>0.5581395348837209</v>
      </c>
      <c r="I173" s="40">
        <v>0</v>
      </c>
      <c r="J173" s="39">
        <v>0</v>
      </c>
      <c r="K173" s="40">
        <v>6</v>
      </c>
      <c r="L173" s="39">
        <f>6/45</f>
        <v>0.13333333333333333</v>
      </c>
      <c r="M173" s="40">
        <v>9</v>
      </c>
      <c r="N173" s="39">
        <f>9/14</f>
        <v>0.6428571428571429</v>
      </c>
      <c r="O173" s="54">
        <v>81</v>
      </c>
      <c r="P173" s="55">
        <f>81/178</f>
        <v>0.4550561797752809</v>
      </c>
    </row>
    <row r="174" spans="2:16" ht="12.75" customHeight="1">
      <c r="B174" s="46" t="s">
        <v>27</v>
      </c>
      <c r="C174" s="5">
        <v>6</v>
      </c>
      <c r="D174" s="39">
        <f>6/45</f>
        <v>0.13333333333333333</v>
      </c>
      <c r="E174" s="40">
        <v>4</v>
      </c>
      <c r="F174" s="39">
        <f>4/23</f>
        <v>0.17391304347826086</v>
      </c>
      <c r="G174" s="40">
        <v>2</v>
      </c>
      <c r="H174" s="39">
        <f>2/43</f>
        <v>0.046511627906976744</v>
      </c>
      <c r="I174" s="40">
        <v>0</v>
      </c>
      <c r="J174" s="39">
        <v>0</v>
      </c>
      <c r="K174" s="40">
        <v>1</v>
      </c>
      <c r="L174" s="39">
        <f>1/45</f>
        <v>0.022222222222222223</v>
      </c>
      <c r="M174" s="40">
        <v>1</v>
      </c>
      <c r="N174" s="39">
        <f>1/14</f>
        <v>0.07142857142857142</v>
      </c>
      <c r="O174" s="54">
        <v>14</v>
      </c>
      <c r="P174" s="55">
        <f>14/178</f>
        <v>0.07865168539325842</v>
      </c>
    </row>
    <row r="175" spans="2:16" ht="12.75" customHeight="1" thickBot="1">
      <c r="B175" s="47" t="s">
        <v>9</v>
      </c>
      <c r="C175" s="6">
        <v>0</v>
      </c>
      <c r="D175" s="7">
        <v>0</v>
      </c>
      <c r="E175" s="8">
        <v>3</v>
      </c>
      <c r="F175" s="7">
        <f>3/23</f>
        <v>0.13043478260869565</v>
      </c>
      <c r="G175" s="8">
        <v>2</v>
      </c>
      <c r="H175" s="7">
        <f>2/43</f>
        <v>0.046511627906976744</v>
      </c>
      <c r="I175" s="8">
        <v>0</v>
      </c>
      <c r="J175" s="7">
        <v>0</v>
      </c>
      <c r="K175" s="8">
        <v>1</v>
      </c>
      <c r="L175" s="7">
        <f>1/45</f>
        <v>0.022222222222222223</v>
      </c>
      <c r="M175" s="8">
        <v>0</v>
      </c>
      <c r="N175" s="7">
        <v>0</v>
      </c>
      <c r="O175" s="56">
        <v>6</v>
      </c>
      <c r="P175" s="57">
        <v>1</v>
      </c>
    </row>
    <row r="176" spans="2:12" ht="12.75" customHeight="1" thickTop="1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2:8" ht="12.75" customHeight="1">
      <c r="B177" s="14"/>
      <c r="C177" s="12"/>
      <c r="D177" s="13"/>
      <c r="E177" s="12"/>
      <c r="F177" s="13"/>
      <c r="G177" s="12"/>
      <c r="H177" s="13"/>
    </row>
    <row r="178" spans="2:8" ht="12.75" customHeight="1">
      <c r="B178" s="17" t="s">
        <v>54</v>
      </c>
      <c r="C178" s="17"/>
      <c r="D178" s="17"/>
      <c r="E178" s="17"/>
      <c r="F178" s="17"/>
      <c r="G178" s="17"/>
      <c r="H178" s="17"/>
    </row>
    <row r="179" spans="2:8" ht="12.75" customHeight="1">
      <c r="B179" s="15"/>
      <c r="C179" s="15"/>
      <c r="D179" s="15"/>
      <c r="E179" s="15"/>
      <c r="F179" s="15"/>
      <c r="G179" s="15"/>
      <c r="H179" s="15"/>
    </row>
    <row r="180" spans="2:10" ht="12.75" customHeight="1">
      <c r="B180" s="166" t="s">
        <v>55</v>
      </c>
      <c r="C180" s="166"/>
      <c r="D180" s="166"/>
      <c r="E180" s="166"/>
      <c r="F180" s="166"/>
      <c r="G180" s="166"/>
      <c r="H180" s="166"/>
      <c r="I180" s="166"/>
      <c r="J180" s="166"/>
    </row>
    <row r="181" spans="2:10" ht="12.75" customHeight="1" thickBot="1"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6" ht="12.75" customHeight="1" thickTop="1">
      <c r="A182" s="63"/>
      <c r="B182" s="28" t="s">
        <v>0</v>
      </c>
      <c r="C182" s="133" t="s">
        <v>12</v>
      </c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5"/>
    </row>
    <row r="183" spans="1:16" ht="27.75" customHeight="1">
      <c r="A183" s="63"/>
      <c r="B183" s="29"/>
      <c r="C183" s="146" t="s">
        <v>89</v>
      </c>
      <c r="D183" s="147"/>
      <c r="E183" s="148" t="s">
        <v>90</v>
      </c>
      <c r="F183" s="147"/>
      <c r="G183" s="148" t="s">
        <v>91</v>
      </c>
      <c r="H183" s="147"/>
      <c r="I183" s="148" t="s">
        <v>92</v>
      </c>
      <c r="J183" s="147"/>
      <c r="K183" s="148" t="s">
        <v>93</v>
      </c>
      <c r="L183" s="147"/>
      <c r="M183" s="148" t="s">
        <v>94</v>
      </c>
      <c r="N183" s="147"/>
      <c r="O183" s="148" t="s">
        <v>3</v>
      </c>
      <c r="P183" s="149"/>
    </row>
    <row r="184" spans="1:16" ht="12.75" customHeight="1" thickBot="1">
      <c r="A184" s="63"/>
      <c r="B184" s="30"/>
      <c r="C184" s="31" t="s">
        <v>4</v>
      </c>
      <c r="D184" s="32" t="s">
        <v>5</v>
      </c>
      <c r="E184" s="32" t="s">
        <v>4</v>
      </c>
      <c r="F184" s="32" t="s">
        <v>5</v>
      </c>
      <c r="G184" s="32" t="s">
        <v>4</v>
      </c>
      <c r="H184" s="32" t="s">
        <v>5</v>
      </c>
      <c r="I184" s="32" t="s">
        <v>4</v>
      </c>
      <c r="J184" s="32" t="s">
        <v>5</v>
      </c>
      <c r="K184" s="32" t="s">
        <v>4</v>
      </c>
      <c r="L184" s="32" t="s">
        <v>5</v>
      </c>
      <c r="M184" s="32" t="s">
        <v>4</v>
      </c>
      <c r="N184" s="32" t="s">
        <v>5</v>
      </c>
      <c r="O184" s="32" t="s">
        <v>4</v>
      </c>
      <c r="P184" s="33" t="s">
        <v>5</v>
      </c>
    </row>
    <row r="185" spans="1:16" ht="12.75" customHeight="1" thickTop="1">
      <c r="A185" s="63"/>
      <c r="B185" s="70" t="s">
        <v>14</v>
      </c>
      <c r="C185" s="2">
        <v>24</v>
      </c>
      <c r="D185" s="3">
        <v>0.5333333333333333</v>
      </c>
      <c r="E185" s="4">
        <v>3</v>
      </c>
      <c r="F185" s="3">
        <v>0.13043478260869565</v>
      </c>
      <c r="G185" s="4">
        <v>11</v>
      </c>
      <c r="H185" s="3">
        <v>0.2558139534883721</v>
      </c>
      <c r="I185" s="4">
        <v>3</v>
      </c>
      <c r="J185" s="3">
        <v>0.375</v>
      </c>
      <c r="K185" s="4">
        <v>15</v>
      </c>
      <c r="L185" s="3">
        <v>0.33333333333333326</v>
      </c>
      <c r="M185" s="4">
        <v>6</v>
      </c>
      <c r="N185" s="3">
        <v>0.42857142857142855</v>
      </c>
      <c r="O185" s="52">
        <v>62</v>
      </c>
      <c r="P185" s="53">
        <v>0.34831460674157305</v>
      </c>
    </row>
    <row r="186" spans="1:16" ht="12.75" customHeight="1" thickBot="1">
      <c r="A186" s="63"/>
      <c r="B186" s="71" t="s">
        <v>28</v>
      </c>
      <c r="C186" s="6">
        <v>21</v>
      </c>
      <c r="D186" s="7">
        <v>0.4666666666666666</v>
      </c>
      <c r="E186" s="8">
        <v>20</v>
      </c>
      <c r="F186" s="7">
        <v>0.8695652173913043</v>
      </c>
      <c r="G186" s="8">
        <v>32</v>
      </c>
      <c r="H186" s="7">
        <v>0.7441860465116279</v>
      </c>
      <c r="I186" s="8">
        <v>5</v>
      </c>
      <c r="J186" s="7">
        <v>0.625</v>
      </c>
      <c r="K186" s="8">
        <v>30</v>
      </c>
      <c r="L186" s="7">
        <v>0.6666666666666665</v>
      </c>
      <c r="M186" s="8">
        <v>8</v>
      </c>
      <c r="N186" s="7">
        <v>0.5714285714285714</v>
      </c>
      <c r="O186" s="56">
        <v>116</v>
      </c>
      <c r="P186" s="57">
        <v>0.651685393258427</v>
      </c>
    </row>
    <row r="187" spans="2:8" ht="8.25" customHeight="1" thickTop="1">
      <c r="B187" s="18"/>
      <c r="C187" s="12"/>
      <c r="D187" s="13"/>
      <c r="E187" s="12"/>
      <c r="F187" s="13"/>
      <c r="G187" s="19"/>
      <c r="H187" s="20"/>
    </row>
    <row r="188" spans="2:8" ht="12.75" customHeight="1">
      <c r="B188" s="168" t="s">
        <v>257</v>
      </c>
      <c r="C188" s="168"/>
      <c r="D188" s="168"/>
      <c r="E188" s="168"/>
      <c r="F188" s="168"/>
      <c r="G188" s="168"/>
      <c r="H188" s="168"/>
    </row>
    <row r="189" ht="12.75" customHeight="1" thickBot="1"/>
    <row r="190" spans="2:17" ht="12.75" customHeight="1" thickTop="1">
      <c r="B190" s="28" t="s">
        <v>0</v>
      </c>
      <c r="C190" s="58"/>
      <c r="D190" s="139" t="s">
        <v>12</v>
      </c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1"/>
    </row>
    <row r="191" spans="2:17" ht="24" customHeight="1">
      <c r="B191" s="29"/>
      <c r="C191" s="59"/>
      <c r="D191" s="142" t="s">
        <v>89</v>
      </c>
      <c r="E191" s="137"/>
      <c r="F191" s="137" t="s">
        <v>90</v>
      </c>
      <c r="G191" s="137"/>
      <c r="H191" s="137" t="s">
        <v>91</v>
      </c>
      <c r="I191" s="137"/>
      <c r="J191" s="137" t="s">
        <v>92</v>
      </c>
      <c r="K191" s="137"/>
      <c r="L191" s="137" t="s">
        <v>93</v>
      </c>
      <c r="M191" s="137"/>
      <c r="N191" s="137" t="s">
        <v>94</v>
      </c>
      <c r="O191" s="137"/>
      <c r="P191" s="137" t="s">
        <v>3</v>
      </c>
      <c r="Q191" s="138"/>
    </row>
    <row r="192" spans="2:17" ht="12.75" customHeight="1" thickBot="1">
      <c r="B192" s="30"/>
      <c r="C192" s="60"/>
      <c r="D192" s="31" t="s">
        <v>4</v>
      </c>
      <c r="E192" s="32" t="s">
        <v>5</v>
      </c>
      <c r="F192" s="32" t="s">
        <v>4</v>
      </c>
      <c r="G192" s="32" t="s">
        <v>5</v>
      </c>
      <c r="H192" s="32" t="s">
        <v>4</v>
      </c>
      <c r="I192" s="32" t="s">
        <v>5</v>
      </c>
      <c r="J192" s="32" t="s">
        <v>4</v>
      </c>
      <c r="K192" s="32" t="s">
        <v>5</v>
      </c>
      <c r="L192" s="32" t="s">
        <v>4</v>
      </c>
      <c r="M192" s="32" t="s">
        <v>5</v>
      </c>
      <c r="N192" s="32" t="s">
        <v>4</v>
      </c>
      <c r="O192" s="32" t="s">
        <v>5</v>
      </c>
      <c r="P192" s="32" t="s">
        <v>4</v>
      </c>
      <c r="Q192" s="33" t="s">
        <v>5</v>
      </c>
    </row>
    <row r="193" spans="2:17" ht="12.75" customHeight="1" thickTop="1">
      <c r="B193" s="173" t="s">
        <v>29</v>
      </c>
      <c r="C193" s="174"/>
      <c r="D193" s="2">
        <v>5</v>
      </c>
      <c r="E193" s="3">
        <f>5/24</f>
        <v>0.20833333333333334</v>
      </c>
      <c r="F193" s="4">
        <v>0</v>
      </c>
      <c r="G193" s="3">
        <v>0</v>
      </c>
      <c r="H193" s="4">
        <v>2</v>
      </c>
      <c r="I193" s="3">
        <f>2/11</f>
        <v>0.18181818181818182</v>
      </c>
      <c r="J193" s="4">
        <v>0</v>
      </c>
      <c r="K193" s="3">
        <v>0</v>
      </c>
      <c r="L193" s="4">
        <v>3</v>
      </c>
      <c r="M193" s="3">
        <f>3/15</f>
        <v>0.2</v>
      </c>
      <c r="N193" s="4">
        <v>2</v>
      </c>
      <c r="O193" s="3">
        <f>2/6</f>
        <v>0.3333333333333333</v>
      </c>
      <c r="P193" s="52">
        <v>12</v>
      </c>
      <c r="Q193" s="53">
        <f>12/62</f>
        <v>0.1935483870967742</v>
      </c>
    </row>
    <row r="194" spans="2:17" ht="12.75" customHeight="1">
      <c r="B194" s="169" t="s">
        <v>30</v>
      </c>
      <c r="C194" s="170"/>
      <c r="D194" s="5">
        <v>1</v>
      </c>
      <c r="E194" s="39">
        <f>1/24</f>
        <v>0.041666666666666664</v>
      </c>
      <c r="F194" s="40">
        <v>0</v>
      </c>
      <c r="G194" s="39">
        <v>0</v>
      </c>
      <c r="H194" s="40">
        <v>0</v>
      </c>
      <c r="I194" s="39">
        <v>0</v>
      </c>
      <c r="J194" s="40">
        <v>0</v>
      </c>
      <c r="K194" s="39">
        <v>0</v>
      </c>
      <c r="L194" s="40">
        <v>0</v>
      </c>
      <c r="M194" s="39">
        <v>0</v>
      </c>
      <c r="N194" s="40">
        <v>0</v>
      </c>
      <c r="O194" s="39">
        <v>0</v>
      </c>
      <c r="P194" s="54">
        <v>1</v>
      </c>
      <c r="Q194" s="55">
        <f>1/62</f>
        <v>0.016129032258064516</v>
      </c>
    </row>
    <row r="195" spans="2:17" ht="12.75" customHeight="1">
      <c r="B195" s="169" t="s">
        <v>31</v>
      </c>
      <c r="C195" s="170"/>
      <c r="D195" s="5">
        <v>16</v>
      </c>
      <c r="E195" s="39">
        <f>16/24</f>
        <v>0.6666666666666666</v>
      </c>
      <c r="F195" s="40">
        <v>2</v>
      </c>
      <c r="G195" s="39">
        <f>2/3</f>
        <v>0.6666666666666666</v>
      </c>
      <c r="H195" s="40">
        <v>10</v>
      </c>
      <c r="I195" s="39">
        <f>10/11</f>
        <v>0.9090909090909091</v>
      </c>
      <c r="J195" s="40">
        <v>2</v>
      </c>
      <c r="K195" s="39">
        <f>2/3</f>
        <v>0.6666666666666666</v>
      </c>
      <c r="L195" s="40">
        <v>12</v>
      </c>
      <c r="M195" s="39">
        <f>12/15</f>
        <v>0.8</v>
      </c>
      <c r="N195" s="40">
        <v>3</v>
      </c>
      <c r="O195" s="39">
        <f>3/6</f>
        <v>0.5</v>
      </c>
      <c r="P195" s="54">
        <v>45</v>
      </c>
      <c r="Q195" s="55">
        <f>45/62</f>
        <v>0.7258064516129032</v>
      </c>
    </row>
    <row r="196" spans="2:17" ht="12.75" customHeight="1">
      <c r="B196" s="169" t="s">
        <v>32</v>
      </c>
      <c r="C196" s="170"/>
      <c r="D196" s="5">
        <v>0</v>
      </c>
      <c r="E196" s="39">
        <v>0</v>
      </c>
      <c r="F196" s="40">
        <v>1</v>
      </c>
      <c r="G196" s="39">
        <f>1/3</f>
        <v>0.3333333333333333</v>
      </c>
      <c r="H196" s="40">
        <v>0</v>
      </c>
      <c r="I196" s="39">
        <v>0</v>
      </c>
      <c r="J196" s="40">
        <v>0</v>
      </c>
      <c r="K196" s="39">
        <v>0</v>
      </c>
      <c r="L196" s="40">
        <v>0</v>
      </c>
      <c r="M196" s="39">
        <v>0</v>
      </c>
      <c r="N196" s="40">
        <v>0</v>
      </c>
      <c r="O196" s="39">
        <v>0</v>
      </c>
      <c r="P196" s="54">
        <v>1</v>
      </c>
      <c r="Q196" s="55">
        <f>1/62</f>
        <v>0.016129032258064516</v>
      </c>
    </row>
    <row r="197" spans="2:17" ht="12.75" customHeight="1">
      <c r="B197" s="169" t="s">
        <v>33</v>
      </c>
      <c r="C197" s="170"/>
      <c r="D197" s="5">
        <v>1</v>
      </c>
      <c r="E197" s="39">
        <f>1/24</f>
        <v>0.041666666666666664</v>
      </c>
      <c r="F197" s="40">
        <v>0</v>
      </c>
      <c r="G197" s="39">
        <v>0</v>
      </c>
      <c r="H197" s="40">
        <v>2</v>
      </c>
      <c r="I197" s="39">
        <f>2/11</f>
        <v>0.18181818181818182</v>
      </c>
      <c r="J197" s="40">
        <v>0</v>
      </c>
      <c r="K197" s="39">
        <v>0</v>
      </c>
      <c r="L197" s="40">
        <v>4</v>
      </c>
      <c r="M197" s="39">
        <f>4/15</f>
        <v>0.26666666666666666</v>
      </c>
      <c r="N197" s="40">
        <v>0</v>
      </c>
      <c r="O197" s="39">
        <v>0</v>
      </c>
      <c r="P197" s="54">
        <v>7</v>
      </c>
      <c r="Q197" s="55">
        <f>7/62</f>
        <v>0.11290322580645161</v>
      </c>
    </row>
    <row r="198" spans="2:17" ht="12.75" customHeight="1">
      <c r="B198" s="169" t="s">
        <v>34</v>
      </c>
      <c r="C198" s="170"/>
      <c r="D198" s="5">
        <v>0</v>
      </c>
      <c r="E198" s="39">
        <v>0</v>
      </c>
      <c r="F198" s="40">
        <v>0</v>
      </c>
      <c r="G198" s="39">
        <v>0</v>
      </c>
      <c r="H198" s="40">
        <v>0</v>
      </c>
      <c r="I198" s="39">
        <v>0</v>
      </c>
      <c r="J198" s="40">
        <v>0</v>
      </c>
      <c r="K198" s="39">
        <v>0</v>
      </c>
      <c r="L198" s="40">
        <v>1</v>
      </c>
      <c r="M198" s="39">
        <f>1/15</f>
        <v>0.06666666666666667</v>
      </c>
      <c r="N198" s="40">
        <v>0</v>
      </c>
      <c r="O198" s="39">
        <v>0</v>
      </c>
      <c r="P198" s="54">
        <v>1</v>
      </c>
      <c r="Q198" s="55">
        <f>1/62</f>
        <v>0.016129032258064516</v>
      </c>
    </row>
    <row r="199" spans="2:17" ht="12.75" customHeight="1">
      <c r="B199" s="169" t="s">
        <v>35</v>
      </c>
      <c r="C199" s="170"/>
      <c r="D199" s="5">
        <v>0</v>
      </c>
      <c r="E199" s="39">
        <v>0</v>
      </c>
      <c r="F199" s="40">
        <v>0</v>
      </c>
      <c r="G199" s="39">
        <v>0</v>
      </c>
      <c r="H199" s="40">
        <v>0</v>
      </c>
      <c r="I199" s="39">
        <v>0</v>
      </c>
      <c r="J199" s="40">
        <v>0</v>
      </c>
      <c r="K199" s="39">
        <v>0</v>
      </c>
      <c r="L199" s="40">
        <v>0</v>
      </c>
      <c r="M199" s="39">
        <v>0</v>
      </c>
      <c r="N199" s="40">
        <v>1</v>
      </c>
      <c r="O199" s="39">
        <f>1/6</f>
        <v>0.16666666666666666</v>
      </c>
      <c r="P199" s="54">
        <v>1</v>
      </c>
      <c r="Q199" s="55">
        <f>1/62</f>
        <v>0.016129032258064516</v>
      </c>
    </row>
    <row r="200" spans="2:17" ht="12.75" customHeight="1">
      <c r="B200" s="169" t="s">
        <v>36</v>
      </c>
      <c r="C200" s="170"/>
      <c r="D200" s="5">
        <v>6</v>
      </c>
      <c r="E200" s="39">
        <f>6/24</f>
        <v>0.25</v>
      </c>
      <c r="F200" s="40">
        <v>0</v>
      </c>
      <c r="G200" s="39">
        <v>0</v>
      </c>
      <c r="H200" s="40">
        <v>3</v>
      </c>
      <c r="I200" s="39">
        <f>3/11</f>
        <v>0.2727272727272727</v>
      </c>
      <c r="J200" s="40">
        <v>0</v>
      </c>
      <c r="K200" s="39">
        <v>0</v>
      </c>
      <c r="L200" s="40">
        <v>4</v>
      </c>
      <c r="M200" s="39">
        <f>4/15</f>
        <v>0.26666666666666666</v>
      </c>
      <c r="N200" s="40">
        <v>2</v>
      </c>
      <c r="O200" s="39">
        <f>2/6</f>
        <v>0.3333333333333333</v>
      </c>
      <c r="P200" s="54">
        <v>15</v>
      </c>
      <c r="Q200" s="55">
        <f>15/62</f>
        <v>0.24193548387096775</v>
      </c>
    </row>
    <row r="201" spans="2:17" ht="12.75" customHeight="1" thickBot="1">
      <c r="B201" s="171" t="s">
        <v>37</v>
      </c>
      <c r="C201" s="172"/>
      <c r="D201" s="6">
        <v>7</v>
      </c>
      <c r="E201" s="7">
        <f>7/24</f>
        <v>0.2916666666666667</v>
      </c>
      <c r="F201" s="8">
        <v>0</v>
      </c>
      <c r="G201" s="7">
        <v>0</v>
      </c>
      <c r="H201" s="8">
        <v>1</v>
      </c>
      <c r="I201" s="7">
        <f>1/11</f>
        <v>0.09090909090909091</v>
      </c>
      <c r="J201" s="8">
        <v>1</v>
      </c>
      <c r="K201" s="7">
        <f>1/3</f>
        <v>0.3333333333333333</v>
      </c>
      <c r="L201" s="8">
        <v>0</v>
      </c>
      <c r="M201" s="7">
        <v>0</v>
      </c>
      <c r="N201" s="8">
        <v>3</v>
      </c>
      <c r="O201" s="7">
        <f>3/6</f>
        <v>0.5</v>
      </c>
      <c r="P201" s="56">
        <v>12</v>
      </c>
      <c r="Q201" s="57">
        <f>12/62</f>
        <v>0.1935483870967742</v>
      </c>
    </row>
    <row r="202" ht="12.75" customHeight="1" thickTop="1"/>
    <row r="204" spans="2:8" ht="26.25" customHeight="1">
      <c r="B204" s="150" t="s">
        <v>56</v>
      </c>
      <c r="C204" s="150"/>
      <c r="D204" s="150"/>
      <c r="E204" s="150"/>
      <c r="F204" s="150"/>
      <c r="G204" s="150"/>
      <c r="H204" s="150"/>
    </row>
    <row r="205" ht="12.75" customHeight="1" thickBot="1"/>
    <row r="206" spans="2:16" ht="12.75" customHeight="1" thickTop="1">
      <c r="B206" s="28" t="s">
        <v>0</v>
      </c>
      <c r="C206" s="139" t="s">
        <v>12</v>
      </c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1"/>
    </row>
    <row r="207" spans="2:16" ht="27.75" customHeight="1">
      <c r="B207" s="29"/>
      <c r="C207" s="142" t="s">
        <v>89</v>
      </c>
      <c r="D207" s="137"/>
      <c r="E207" s="137" t="s">
        <v>90</v>
      </c>
      <c r="F207" s="137"/>
      <c r="G207" s="137" t="s">
        <v>91</v>
      </c>
      <c r="H207" s="137"/>
      <c r="I207" s="137" t="s">
        <v>92</v>
      </c>
      <c r="J207" s="137"/>
      <c r="K207" s="137" t="s">
        <v>93</v>
      </c>
      <c r="L207" s="137"/>
      <c r="M207" s="137" t="s">
        <v>94</v>
      </c>
      <c r="N207" s="137"/>
      <c r="O207" s="137" t="s">
        <v>3</v>
      </c>
      <c r="P207" s="138"/>
    </row>
    <row r="208" spans="2:16" ht="12.75" customHeight="1" thickBot="1">
      <c r="B208" s="30"/>
      <c r="C208" s="31" t="s">
        <v>4</v>
      </c>
      <c r="D208" s="32" t="s">
        <v>5</v>
      </c>
      <c r="E208" s="32" t="s">
        <v>4</v>
      </c>
      <c r="F208" s="32" t="s">
        <v>5</v>
      </c>
      <c r="G208" s="32" t="s">
        <v>4</v>
      </c>
      <c r="H208" s="32" t="s">
        <v>5</v>
      </c>
      <c r="I208" s="32" t="s">
        <v>4</v>
      </c>
      <c r="J208" s="32" t="s">
        <v>5</v>
      </c>
      <c r="K208" s="32" t="s">
        <v>4</v>
      </c>
      <c r="L208" s="32" t="s">
        <v>5</v>
      </c>
      <c r="M208" s="32" t="s">
        <v>4</v>
      </c>
      <c r="N208" s="32" t="s">
        <v>5</v>
      </c>
      <c r="O208" s="32" t="s">
        <v>4</v>
      </c>
      <c r="P208" s="33" t="s">
        <v>5</v>
      </c>
    </row>
    <row r="209" spans="2:16" ht="12.75" customHeight="1" thickTop="1">
      <c r="B209" s="45" t="s">
        <v>38</v>
      </c>
      <c r="C209" s="2">
        <v>35</v>
      </c>
      <c r="D209" s="3">
        <f>35/45</f>
        <v>0.7777777777777778</v>
      </c>
      <c r="E209" s="4">
        <v>20</v>
      </c>
      <c r="F209" s="3">
        <f>20/23</f>
        <v>0.8695652173913043</v>
      </c>
      <c r="G209" s="4">
        <v>37</v>
      </c>
      <c r="H209" s="3">
        <f>37/43</f>
        <v>0.8604651162790697</v>
      </c>
      <c r="I209" s="4">
        <v>7</v>
      </c>
      <c r="J209" s="3">
        <f>7/8</f>
        <v>0.875</v>
      </c>
      <c r="K209" s="4">
        <v>43</v>
      </c>
      <c r="L209" s="3">
        <f>43/45</f>
        <v>0.9555555555555556</v>
      </c>
      <c r="M209" s="4">
        <v>12</v>
      </c>
      <c r="N209" s="3">
        <f>12/14</f>
        <v>0.8571428571428571</v>
      </c>
      <c r="O209" s="52">
        <v>154</v>
      </c>
      <c r="P209" s="53">
        <f>154/178</f>
        <v>0.8651685393258427</v>
      </c>
    </row>
    <row r="210" spans="2:16" ht="12.75" customHeight="1">
      <c r="B210" s="46" t="s">
        <v>39</v>
      </c>
      <c r="C210" s="5">
        <v>11</v>
      </c>
      <c r="D210" s="39">
        <f>11/45</f>
        <v>0.24444444444444444</v>
      </c>
      <c r="E210" s="40">
        <v>10</v>
      </c>
      <c r="F210" s="39">
        <f>10/23</f>
        <v>0.43478260869565216</v>
      </c>
      <c r="G210" s="40">
        <v>5</v>
      </c>
      <c r="H210" s="39">
        <f>5/43</f>
        <v>0.11627906976744186</v>
      </c>
      <c r="I210" s="40">
        <v>2</v>
      </c>
      <c r="J210" s="39">
        <f>2/8</f>
        <v>0.25</v>
      </c>
      <c r="K210" s="40">
        <v>18</v>
      </c>
      <c r="L210" s="39">
        <f>18/45</f>
        <v>0.4</v>
      </c>
      <c r="M210" s="40">
        <v>1</v>
      </c>
      <c r="N210" s="39">
        <f>1/14</f>
        <v>0.07142857142857142</v>
      </c>
      <c r="O210" s="54">
        <v>47</v>
      </c>
      <c r="P210" s="55">
        <f>47/178</f>
        <v>0.2640449438202247</v>
      </c>
    </row>
    <row r="211" spans="2:16" ht="12.75" customHeight="1">
      <c r="B211" s="46" t="s">
        <v>40</v>
      </c>
      <c r="C211" s="5">
        <v>0</v>
      </c>
      <c r="D211" s="39">
        <v>0</v>
      </c>
      <c r="E211" s="40">
        <v>0</v>
      </c>
      <c r="F211" s="39">
        <v>0</v>
      </c>
      <c r="G211" s="40">
        <v>0</v>
      </c>
      <c r="H211" s="39">
        <v>0</v>
      </c>
      <c r="I211" s="40">
        <v>1</v>
      </c>
      <c r="J211" s="39">
        <f>1/8</f>
        <v>0.125</v>
      </c>
      <c r="K211" s="40">
        <v>1</v>
      </c>
      <c r="L211" s="39">
        <f>1/45</f>
        <v>0.022222222222222223</v>
      </c>
      <c r="M211" s="40">
        <v>1</v>
      </c>
      <c r="N211" s="39">
        <f>1/14</f>
        <v>0.07142857142857142</v>
      </c>
      <c r="O211" s="54">
        <v>3</v>
      </c>
      <c r="P211" s="55">
        <f>3/178</f>
        <v>0.016853932584269662</v>
      </c>
    </row>
    <row r="212" spans="2:16" ht="12.75" customHeight="1">
      <c r="B212" s="46" t="s">
        <v>41</v>
      </c>
      <c r="C212" s="5">
        <v>0</v>
      </c>
      <c r="D212" s="39">
        <v>0</v>
      </c>
      <c r="E212" s="40">
        <v>1</v>
      </c>
      <c r="F212" s="39">
        <f>1/23</f>
        <v>0.043478260869565216</v>
      </c>
      <c r="G212" s="40">
        <v>0</v>
      </c>
      <c r="H212" s="39">
        <v>0</v>
      </c>
      <c r="I212" s="40">
        <v>0</v>
      </c>
      <c r="J212" s="39">
        <v>0</v>
      </c>
      <c r="K212" s="40">
        <v>3</v>
      </c>
      <c r="L212" s="39">
        <f>3/45</f>
        <v>0.06666666666666667</v>
      </c>
      <c r="M212" s="40">
        <v>0</v>
      </c>
      <c r="N212" s="39">
        <v>0</v>
      </c>
      <c r="O212" s="54">
        <v>4</v>
      </c>
      <c r="P212" s="55">
        <f>4/178</f>
        <v>0.02247191011235955</v>
      </c>
    </row>
    <row r="213" spans="2:16" ht="12.75" customHeight="1">
      <c r="B213" s="46" t="s">
        <v>42</v>
      </c>
      <c r="C213" s="5">
        <v>10</v>
      </c>
      <c r="D213" s="39">
        <f>10/45</f>
        <v>0.2222222222222222</v>
      </c>
      <c r="E213" s="40">
        <v>6</v>
      </c>
      <c r="F213" s="39">
        <f>6/23</f>
        <v>0.2608695652173913</v>
      </c>
      <c r="G213" s="40">
        <v>9</v>
      </c>
      <c r="H213" s="39">
        <f>9/43</f>
        <v>0.20930232558139536</v>
      </c>
      <c r="I213" s="40">
        <v>2</v>
      </c>
      <c r="J213" s="39">
        <f>2/8</f>
        <v>0.25</v>
      </c>
      <c r="K213" s="40">
        <v>14</v>
      </c>
      <c r="L213" s="39">
        <f>14/45</f>
        <v>0.3111111111111111</v>
      </c>
      <c r="M213" s="40">
        <v>1</v>
      </c>
      <c r="N213" s="39">
        <f>1/14</f>
        <v>0.07142857142857142</v>
      </c>
      <c r="O213" s="54">
        <v>42</v>
      </c>
      <c r="P213" s="55">
        <f>42/178</f>
        <v>0.23595505617977527</v>
      </c>
    </row>
    <row r="214" spans="2:16" ht="12.75" customHeight="1">
      <c r="B214" s="46" t="s">
        <v>43</v>
      </c>
      <c r="C214" s="5">
        <v>8</v>
      </c>
      <c r="D214" s="39">
        <f>8/45</f>
        <v>0.17777777777777778</v>
      </c>
      <c r="E214" s="40">
        <v>3</v>
      </c>
      <c r="F214" s="39">
        <f>3/23</f>
        <v>0.13043478260869565</v>
      </c>
      <c r="G214" s="40">
        <v>4</v>
      </c>
      <c r="H214" s="39">
        <f>4/43</f>
        <v>0.09302325581395349</v>
      </c>
      <c r="I214" s="40">
        <v>0</v>
      </c>
      <c r="J214" s="39">
        <v>0</v>
      </c>
      <c r="K214" s="40">
        <v>11</v>
      </c>
      <c r="L214" s="39">
        <f>11/45</f>
        <v>0.24444444444444444</v>
      </c>
      <c r="M214" s="40">
        <v>2</v>
      </c>
      <c r="N214" s="39">
        <f>2/14</f>
        <v>0.14285714285714285</v>
      </c>
      <c r="O214" s="54">
        <v>28</v>
      </c>
      <c r="P214" s="55">
        <f>28/178</f>
        <v>0.15730337078651685</v>
      </c>
    </row>
    <row r="215" spans="2:16" ht="12.75" customHeight="1">
      <c r="B215" s="46" t="s">
        <v>44</v>
      </c>
      <c r="C215" s="5">
        <v>13</v>
      </c>
      <c r="D215" s="39">
        <f>13/45</f>
        <v>0.28888888888888886</v>
      </c>
      <c r="E215" s="40">
        <v>6</v>
      </c>
      <c r="F215" s="39">
        <f>6/23</f>
        <v>0.2608695652173913</v>
      </c>
      <c r="G215" s="40">
        <v>6</v>
      </c>
      <c r="H215" s="39">
        <f>6/43</f>
        <v>0.13953488372093023</v>
      </c>
      <c r="I215" s="40">
        <v>1</v>
      </c>
      <c r="J215" s="39">
        <f>1/8</f>
        <v>0.125</v>
      </c>
      <c r="K215" s="40">
        <v>8</v>
      </c>
      <c r="L215" s="39">
        <f>8/45</f>
        <v>0.17777777777777778</v>
      </c>
      <c r="M215" s="40">
        <v>2</v>
      </c>
      <c r="N215" s="39">
        <f>2/14</f>
        <v>0.14285714285714285</v>
      </c>
      <c r="O215" s="54">
        <v>36</v>
      </c>
      <c r="P215" s="55">
        <f>36/178</f>
        <v>0.20224719101123595</v>
      </c>
    </row>
    <row r="216" spans="2:16" ht="12.75" customHeight="1">
      <c r="B216" s="46" t="s">
        <v>45</v>
      </c>
      <c r="C216" s="5">
        <v>6</v>
      </c>
      <c r="D216" s="39">
        <f>6/45</f>
        <v>0.13333333333333333</v>
      </c>
      <c r="E216" s="40">
        <v>0</v>
      </c>
      <c r="F216" s="39">
        <v>0</v>
      </c>
      <c r="G216" s="40">
        <v>0</v>
      </c>
      <c r="H216" s="39">
        <v>0</v>
      </c>
      <c r="I216" s="40">
        <v>1</v>
      </c>
      <c r="J216" s="39">
        <f>1/8</f>
        <v>0.125</v>
      </c>
      <c r="K216" s="40">
        <v>9</v>
      </c>
      <c r="L216" s="39">
        <f>9/45</f>
        <v>0.2</v>
      </c>
      <c r="M216" s="40">
        <v>1</v>
      </c>
      <c r="N216" s="39">
        <f>1/14</f>
        <v>0.07142857142857142</v>
      </c>
      <c r="O216" s="54">
        <v>17</v>
      </c>
      <c r="P216" s="55">
        <f>17/178</f>
        <v>0.09550561797752809</v>
      </c>
    </row>
    <row r="217" spans="2:16" ht="12.75" customHeight="1" thickBot="1">
      <c r="B217" s="47" t="s">
        <v>9</v>
      </c>
      <c r="C217" s="6">
        <v>5</v>
      </c>
      <c r="D217" s="7">
        <f>5/45</f>
        <v>0.1111111111111111</v>
      </c>
      <c r="E217" s="8">
        <v>1</v>
      </c>
      <c r="F217" s="7">
        <f>1/23</f>
        <v>0.043478260869565216</v>
      </c>
      <c r="G217" s="8">
        <v>3</v>
      </c>
      <c r="H217" s="7">
        <f>3/43</f>
        <v>0.06976744186046512</v>
      </c>
      <c r="I217" s="8">
        <v>0</v>
      </c>
      <c r="J217" s="7">
        <v>0</v>
      </c>
      <c r="K217" s="8">
        <v>0</v>
      </c>
      <c r="L217" s="7">
        <v>0</v>
      </c>
      <c r="M217" s="8">
        <v>0</v>
      </c>
      <c r="N217" s="7">
        <v>0</v>
      </c>
      <c r="O217" s="56">
        <v>9</v>
      </c>
      <c r="P217" s="57">
        <f>9/178</f>
        <v>0.05056179775280899</v>
      </c>
    </row>
    <row r="218" spans="2:12" ht="12.75" customHeight="1" thickTop="1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</row>
    <row r="219" spans="2:8" ht="12.75" customHeight="1">
      <c r="B219" s="14"/>
      <c r="C219" s="12"/>
      <c r="D219" s="13"/>
      <c r="E219" s="12"/>
      <c r="F219" s="13"/>
      <c r="G219" s="12"/>
      <c r="H219" s="13"/>
    </row>
    <row r="220" spans="2:8" ht="37.5" customHeight="1">
      <c r="B220" s="151" t="s">
        <v>62</v>
      </c>
      <c r="C220" s="151"/>
      <c r="D220" s="151"/>
      <c r="E220" s="151"/>
      <c r="F220" s="151"/>
      <c r="G220" s="151"/>
      <c r="H220" s="151"/>
    </row>
    <row r="221" ht="12.75" customHeight="1" thickBot="1"/>
    <row r="222" spans="2:16" ht="12.75" customHeight="1" thickTop="1">
      <c r="B222" s="28" t="s">
        <v>0</v>
      </c>
      <c r="C222" s="139" t="s">
        <v>12</v>
      </c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1"/>
    </row>
    <row r="223" spans="2:16" ht="27" customHeight="1">
      <c r="B223" s="29"/>
      <c r="C223" s="142" t="s">
        <v>89</v>
      </c>
      <c r="D223" s="137"/>
      <c r="E223" s="137" t="s">
        <v>90</v>
      </c>
      <c r="F223" s="137"/>
      <c r="G223" s="137" t="s">
        <v>91</v>
      </c>
      <c r="H223" s="137"/>
      <c r="I223" s="137" t="s">
        <v>92</v>
      </c>
      <c r="J223" s="137"/>
      <c r="K223" s="137" t="s">
        <v>93</v>
      </c>
      <c r="L223" s="137"/>
      <c r="M223" s="137" t="s">
        <v>94</v>
      </c>
      <c r="N223" s="137"/>
      <c r="O223" s="137" t="s">
        <v>3</v>
      </c>
      <c r="P223" s="138"/>
    </row>
    <row r="224" spans="2:16" ht="12.75" customHeight="1" thickBot="1">
      <c r="B224" s="30"/>
      <c r="C224" s="31" t="s">
        <v>4</v>
      </c>
      <c r="D224" s="32" t="s">
        <v>5</v>
      </c>
      <c r="E224" s="32" t="s">
        <v>4</v>
      </c>
      <c r="F224" s="32" t="s">
        <v>5</v>
      </c>
      <c r="G224" s="32" t="s">
        <v>4</v>
      </c>
      <c r="H224" s="32" t="s">
        <v>5</v>
      </c>
      <c r="I224" s="32" t="s">
        <v>4</v>
      </c>
      <c r="J224" s="32" t="s">
        <v>5</v>
      </c>
      <c r="K224" s="32" t="s">
        <v>4</v>
      </c>
      <c r="L224" s="32" t="s">
        <v>5</v>
      </c>
      <c r="M224" s="32" t="s">
        <v>4</v>
      </c>
      <c r="N224" s="32" t="s">
        <v>5</v>
      </c>
      <c r="O224" s="32" t="s">
        <v>4</v>
      </c>
      <c r="P224" s="33" t="s">
        <v>5</v>
      </c>
    </row>
    <row r="225" spans="2:16" ht="12" customHeight="1" thickTop="1">
      <c r="B225" s="45" t="s">
        <v>46</v>
      </c>
      <c r="C225" s="2">
        <v>1</v>
      </c>
      <c r="D225" s="3">
        <f>1/45</f>
        <v>0.022222222222222223</v>
      </c>
      <c r="E225" s="4">
        <v>1</v>
      </c>
      <c r="F225" s="3">
        <f>1/23</f>
        <v>0.043478260869565216</v>
      </c>
      <c r="G225" s="4">
        <v>2</v>
      </c>
      <c r="H225" s="3">
        <f>2/43</f>
        <v>0.046511627906976744</v>
      </c>
      <c r="I225" s="4">
        <v>1</v>
      </c>
      <c r="J225" s="3">
        <f>1/8</f>
        <v>0.125</v>
      </c>
      <c r="K225" s="4">
        <v>2</v>
      </c>
      <c r="L225" s="3">
        <f>2/45</f>
        <v>0.044444444444444446</v>
      </c>
      <c r="M225" s="4">
        <v>0</v>
      </c>
      <c r="N225" s="3">
        <v>0</v>
      </c>
      <c r="O225" s="52">
        <v>7</v>
      </c>
      <c r="P225" s="53">
        <f>7/178</f>
        <v>0.03932584269662921</v>
      </c>
    </row>
    <row r="226" spans="2:16" ht="12.75" customHeight="1">
      <c r="B226" s="46" t="s">
        <v>47</v>
      </c>
      <c r="C226" s="5">
        <v>2</v>
      </c>
      <c r="D226" s="39">
        <f>2/45</f>
        <v>0.044444444444444446</v>
      </c>
      <c r="E226" s="40">
        <v>1</v>
      </c>
      <c r="F226" s="39">
        <f>1/23</f>
        <v>0.043478260869565216</v>
      </c>
      <c r="G226" s="40">
        <v>0</v>
      </c>
      <c r="H226" s="39">
        <v>0</v>
      </c>
      <c r="I226" s="40">
        <v>0</v>
      </c>
      <c r="J226" s="39">
        <v>0</v>
      </c>
      <c r="K226" s="40">
        <v>3</v>
      </c>
      <c r="L226" s="39">
        <f>3/45</f>
        <v>0.06666666666666667</v>
      </c>
      <c r="M226" s="40">
        <v>1</v>
      </c>
      <c r="N226" s="39">
        <f>1/14</f>
        <v>0.07142857142857142</v>
      </c>
      <c r="O226" s="54">
        <v>7</v>
      </c>
      <c r="P226" s="55">
        <f>7/178</f>
        <v>0.03932584269662921</v>
      </c>
    </row>
    <row r="227" spans="2:16" ht="12.75" customHeight="1">
      <c r="B227" s="46" t="s">
        <v>87</v>
      </c>
      <c r="C227" s="5">
        <v>9</v>
      </c>
      <c r="D227" s="39">
        <f>9/45</f>
        <v>0.2</v>
      </c>
      <c r="E227" s="40">
        <v>5</v>
      </c>
      <c r="F227" s="39">
        <f>5/23</f>
        <v>0.21739130434782608</v>
      </c>
      <c r="G227" s="40">
        <v>5</v>
      </c>
      <c r="H227" s="39">
        <f>5/43</f>
        <v>0.11627906976744186</v>
      </c>
      <c r="I227" s="40">
        <v>1</v>
      </c>
      <c r="J227" s="39">
        <f>1/8</f>
        <v>0.125</v>
      </c>
      <c r="K227" s="40">
        <v>6</v>
      </c>
      <c r="L227" s="39">
        <f>6/45</f>
        <v>0.13333333333333333</v>
      </c>
      <c r="M227" s="40">
        <v>2</v>
      </c>
      <c r="N227" s="39">
        <f>2/14</f>
        <v>0.14285714285714285</v>
      </c>
      <c r="O227" s="54">
        <v>28</v>
      </c>
      <c r="P227" s="55">
        <f>28/178</f>
        <v>0.15730337078651685</v>
      </c>
    </row>
    <row r="228" spans="2:16" ht="12.75" customHeight="1">
      <c r="B228" s="46" t="s">
        <v>48</v>
      </c>
      <c r="C228" s="5">
        <v>0</v>
      </c>
      <c r="D228" s="39">
        <v>0</v>
      </c>
      <c r="E228" s="40">
        <v>0</v>
      </c>
      <c r="F228" s="39">
        <v>0</v>
      </c>
      <c r="G228" s="40">
        <v>0</v>
      </c>
      <c r="H228" s="39">
        <v>0</v>
      </c>
      <c r="I228" s="40">
        <v>1</v>
      </c>
      <c r="J228" s="39">
        <f>1/8</f>
        <v>0.125</v>
      </c>
      <c r="K228" s="40">
        <v>0</v>
      </c>
      <c r="L228" s="39">
        <v>0</v>
      </c>
      <c r="M228" s="40">
        <v>0</v>
      </c>
      <c r="N228" s="39">
        <v>0</v>
      </c>
      <c r="O228" s="54">
        <v>1</v>
      </c>
      <c r="P228" s="55">
        <f>1/178</f>
        <v>0.0056179775280898875</v>
      </c>
    </row>
    <row r="229" spans="2:16" ht="12.75" customHeight="1">
      <c r="B229" s="46" t="s">
        <v>9</v>
      </c>
      <c r="C229" s="5">
        <v>2</v>
      </c>
      <c r="D229" s="39">
        <f>2/45</f>
        <v>0.044444444444444446</v>
      </c>
      <c r="E229" s="40">
        <v>0</v>
      </c>
      <c r="F229" s="39">
        <v>0</v>
      </c>
      <c r="G229" s="40">
        <v>1</v>
      </c>
      <c r="H229" s="39">
        <f>1/43</f>
        <v>0.023255813953488372</v>
      </c>
      <c r="I229" s="40">
        <v>0</v>
      </c>
      <c r="J229" s="39">
        <v>0</v>
      </c>
      <c r="K229" s="40">
        <v>3</v>
      </c>
      <c r="L229" s="39">
        <f>3/45</f>
        <v>0.06666666666666667</v>
      </c>
      <c r="M229" s="40">
        <v>0</v>
      </c>
      <c r="N229" s="39">
        <v>0</v>
      </c>
      <c r="O229" s="54">
        <v>6</v>
      </c>
      <c r="P229" s="55">
        <f>6/178</f>
        <v>0.033707865168539325</v>
      </c>
    </row>
    <row r="230" spans="2:16" ht="12.75" customHeight="1" thickBot="1">
      <c r="B230" s="47" t="s">
        <v>49</v>
      </c>
      <c r="C230" s="6">
        <v>31</v>
      </c>
      <c r="D230" s="7">
        <f>31/45</f>
        <v>0.6888888888888889</v>
      </c>
      <c r="E230" s="8">
        <v>16</v>
      </c>
      <c r="F230" s="7">
        <f>16/23</f>
        <v>0.6956521739130435</v>
      </c>
      <c r="G230" s="8">
        <v>36</v>
      </c>
      <c r="H230" s="7">
        <f>36/43</f>
        <v>0.8372093023255814</v>
      </c>
      <c r="I230" s="8">
        <v>5</v>
      </c>
      <c r="J230" s="7">
        <f>5/8</f>
        <v>0.625</v>
      </c>
      <c r="K230" s="8">
        <v>31</v>
      </c>
      <c r="L230" s="7">
        <f>31/45</f>
        <v>0.6888888888888889</v>
      </c>
      <c r="M230" s="8">
        <v>11</v>
      </c>
      <c r="N230" s="7">
        <f>11/14</f>
        <v>0.7857142857142857</v>
      </c>
      <c r="O230" s="56">
        <v>130</v>
      </c>
      <c r="P230" s="57">
        <f>130/178</f>
        <v>0.7303370786516854</v>
      </c>
    </row>
    <row r="231" ht="12.75" customHeight="1" thickTop="1"/>
    <row r="232" spans="1:8" ht="12.75" customHeight="1">
      <c r="A232" s="26"/>
      <c r="B232" s="24"/>
      <c r="C232" s="19"/>
      <c r="D232" s="20"/>
      <c r="E232" s="19"/>
      <c r="F232" s="20"/>
      <c r="G232" s="19"/>
      <c r="H232" s="20"/>
    </row>
    <row r="233" spans="1:8" ht="26.25" customHeight="1">
      <c r="A233" s="26"/>
      <c r="B233" s="151" t="s">
        <v>170</v>
      </c>
      <c r="C233" s="151"/>
      <c r="D233" s="151"/>
      <c r="E233" s="151"/>
      <c r="F233" s="151"/>
      <c r="G233" s="151"/>
      <c r="H233" s="151"/>
    </row>
    <row r="234" spans="1:8" ht="12.75" customHeight="1" thickBot="1">
      <c r="A234" s="26"/>
      <c r="B234" s="26"/>
      <c r="C234" s="26"/>
      <c r="D234" s="26"/>
      <c r="E234" s="26"/>
      <c r="F234" s="26"/>
      <c r="G234" s="26"/>
      <c r="H234" s="26"/>
    </row>
    <row r="235" spans="1:17" ht="24.75" customHeight="1" thickTop="1">
      <c r="A235" s="26"/>
      <c r="B235" s="105" t="s">
        <v>0</v>
      </c>
      <c r="C235" s="154" t="s">
        <v>12</v>
      </c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6"/>
      <c r="Q235" s="23"/>
    </row>
    <row r="236" spans="1:17" ht="26.25" customHeight="1">
      <c r="A236" s="26"/>
      <c r="B236" s="106"/>
      <c r="C236" s="157" t="s">
        <v>89</v>
      </c>
      <c r="D236" s="158"/>
      <c r="E236" s="158" t="s">
        <v>90</v>
      </c>
      <c r="F236" s="158"/>
      <c r="G236" s="158" t="s">
        <v>91</v>
      </c>
      <c r="H236" s="158"/>
      <c r="I236" s="158" t="s">
        <v>92</v>
      </c>
      <c r="J236" s="158"/>
      <c r="K236" s="158" t="s">
        <v>93</v>
      </c>
      <c r="L236" s="158"/>
      <c r="M236" s="158" t="s">
        <v>94</v>
      </c>
      <c r="N236" s="158"/>
      <c r="O236" s="158" t="s">
        <v>3</v>
      </c>
      <c r="P236" s="159"/>
      <c r="Q236" s="23"/>
    </row>
    <row r="237" spans="1:17" ht="12.75" customHeight="1" thickBot="1">
      <c r="A237" s="26"/>
      <c r="B237" s="107"/>
      <c r="C237" s="108" t="s">
        <v>4</v>
      </c>
      <c r="D237" s="109" t="s">
        <v>5</v>
      </c>
      <c r="E237" s="109" t="s">
        <v>4</v>
      </c>
      <c r="F237" s="109" t="s">
        <v>5</v>
      </c>
      <c r="G237" s="109" t="s">
        <v>4</v>
      </c>
      <c r="H237" s="109" t="s">
        <v>5</v>
      </c>
      <c r="I237" s="109" t="s">
        <v>4</v>
      </c>
      <c r="J237" s="109" t="s">
        <v>5</v>
      </c>
      <c r="K237" s="109" t="s">
        <v>4</v>
      </c>
      <c r="L237" s="109" t="s">
        <v>5</v>
      </c>
      <c r="M237" s="109" t="s">
        <v>4</v>
      </c>
      <c r="N237" s="109" t="s">
        <v>5</v>
      </c>
      <c r="O237" s="109" t="s">
        <v>4</v>
      </c>
      <c r="P237" s="110" t="s">
        <v>5</v>
      </c>
      <c r="Q237" s="23"/>
    </row>
    <row r="238" spans="1:17" ht="12.75" customHeight="1" thickTop="1">
      <c r="A238" s="26"/>
      <c r="B238" s="74" t="s">
        <v>175</v>
      </c>
      <c r="C238" s="76">
        <v>23</v>
      </c>
      <c r="D238" s="77">
        <f>23/45</f>
        <v>0.5111111111111111</v>
      </c>
      <c r="E238" s="78">
        <v>10</v>
      </c>
      <c r="F238" s="77">
        <f>E238/23</f>
        <v>0.43478260869565216</v>
      </c>
      <c r="G238" s="78">
        <v>29</v>
      </c>
      <c r="H238" s="77">
        <f>29/43</f>
        <v>0.6744186046511628</v>
      </c>
      <c r="I238" s="78">
        <v>3</v>
      </c>
      <c r="J238" s="77">
        <f>3/8</f>
        <v>0.375</v>
      </c>
      <c r="K238" s="78">
        <v>6</v>
      </c>
      <c r="L238" s="77">
        <f>6/45</f>
        <v>0.13333333333333333</v>
      </c>
      <c r="M238" s="78">
        <v>10</v>
      </c>
      <c r="N238" s="77">
        <f>10/14</f>
        <v>0.7142857142857143</v>
      </c>
      <c r="O238" s="111">
        <v>81</v>
      </c>
      <c r="P238" s="112">
        <f>81/178</f>
        <v>0.4550561797752809</v>
      </c>
      <c r="Q238" s="23"/>
    </row>
    <row r="239" spans="1:17" ht="12.75" customHeight="1">
      <c r="A239" s="26"/>
      <c r="B239" s="80" t="s">
        <v>176</v>
      </c>
      <c r="C239" s="82">
        <v>3</v>
      </c>
      <c r="D239" s="83">
        <f>C239/45</f>
        <v>0.06666666666666667</v>
      </c>
      <c r="E239" s="84">
        <v>1</v>
      </c>
      <c r="F239" s="83">
        <f>E239/23</f>
        <v>0.043478260869565216</v>
      </c>
      <c r="G239" s="84">
        <v>2</v>
      </c>
      <c r="H239" s="83">
        <f>G239/43</f>
        <v>0.046511627906976744</v>
      </c>
      <c r="I239" s="84">
        <v>1</v>
      </c>
      <c r="J239" s="83">
        <f>I239/8</f>
        <v>0.125</v>
      </c>
      <c r="K239" s="84">
        <v>3</v>
      </c>
      <c r="L239" s="83">
        <f>K239/45</f>
        <v>0.06666666666666667</v>
      </c>
      <c r="M239" s="84">
        <v>0</v>
      </c>
      <c r="N239" s="83">
        <f>M239/14</f>
        <v>0</v>
      </c>
      <c r="O239" s="113">
        <v>10</v>
      </c>
      <c r="P239" s="114">
        <f>O239/178</f>
        <v>0.056179775280898875</v>
      </c>
      <c r="Q239" s="23"/>
    </row>
    <row r="240" spans="1:17" ht="12.75" customHeight="1">
      <c r="A240" s="26"/>
      <c r="B240" s="80" t="s">
        <v>177</v>
      </c>
      <c r="C240" s="82">
        <v>15</v>
      </c>
      <c r="D240" s="83">
        <f aca="true" t="shared" si="0" ref="D240:D252">C240/45</f>
        <v>0.3333333333333333</v>
      </c>
      <c r="E240" s="84">
        <v>4</v>
      </c>
      <c r="F240" s="83">
        <f>E240/23</f>
        <v>0.17391304347826086</v>
      </c>
      <c r="G240" s="84">
        <v>6</v>
      </c>
      <c r="H240" s="83">
        <f aca="true" t="shared" si="1" ref="H240:H252">G240/43</f>
        <v>0.13953488372093023</v>
      </c>
      <c r="I240" s="84">
        <v>1</v>
      </c>
      <c r="J240" s="83">
        <f aca="true" t="shared" si="2" ref="J240:J252">I240/8</f>
        <v>0.125</v>
      </c>
      <c r="K240" s="84">
        <v>4</v>
      </c>
      <c r="L240" s="83">
        <f aca="true" t="shared" si="3" ref="L240:L252">K240/45</f>
        <v>0.08888888888888889</v>
      </c>
      <c r="M240" s="84">
        <v>1</v>
      </c>
      <c r="N240" s="83">
        <f aca="true" t="shared" si="4" ref="N240:N251">M240/14</f>
        <v>0.07142857142857142</v>
      </c>
      <c r="O240" s="113">
        <v>31</v>
      </c>
      <c r="P240" s="114">
        <f aca="true" t="shared" si="5" ref="P240:P252">O240/178</f>
        <v>0.17415730337078653</v>
      </c>
      <c r="Q240" s="23"/>
    </row>
    <row r="241" spans="1:17" ht="12.75" customHeight="1">
      <c r="A241" s="26"/>
      <c r="B241" s="80" t="s">
        <v>178</v>
      </c>
      <c r="C241" s="82">
        <v>10</v>
      </c>
      <c r="D241" s="83">
        <f t="shared" si="0"/>
        <v>0.2222222222222222</v>
      </c>
      <c r="E241" s="84">
        <v>6</v>
      </c>
      <c r="F241" s="83">
        <f aca="true" t="shared" si="6" ref="F241:F252">E241/23</f>
        <v>0.2608695652173913</v>
      </c>
      <c r="G241" s="84">
        <v>10</v>
      </c>
      <c r="H241" s="83">
        <f t="shared" si="1"/>
        <v>0.23255813953488372</v>
      </c>
      <c r="I241" s="84">
        <v>1</v>
      </c>
      <c r="J241" s="83">
        <f t="shared" si="2"/>
        <v>0.125</v>
      </c>
      <c r="K241" s="84">
        <v>22</v>
      </c>
      <c r="L241" s="83">
        <f t="shared" si="3"/>
        <v>0.4888888888888889</v>
      </c>
      <c r="M241" s="84">
        <v>1</v>
      </c>
      <c r="N241" s="83">
        <f t="shared" si="4"/>
        <v>0.07142857142857142</v>
      </c>
      <c r="O241" s="113">
        <v>50</v>
      </c>
      <c r="P241" s="114">
        <f t="shared" si="5"/>
        <v>0.2808988764044944</v>
      </c>
      <c r="Q241" s="23"/>
    </row>
    <row r="242" spans="1:17" ht="12.75" customHeight="1">
      <c r="A242" s="26"/>
      <c r="B242" s="80" t="s">
        <v>179</v>
      </c>
      <c r="C242" s="82">
        <v>6</v>
      </c>
      <c r="D242" s="83">
        <f t="shared" si="0"/>
        <v>0.13333333333333333</v>
      </c>
      <c r="E242" s="84">
        <v>6</v>
      </c>
      <c r="F242" s="83">
        <f t="shared" si="6"/>
        <v>0.2608695652173913</v>
      </c>
      <c r="G242" s="84">
        <v>7</v>
      </c>
      <c r="H242" s="83">
        <f t="shared" si="1"/>
        <v>0.16279069767441862</v>
      </c>
      <c r="I242" s="84">
        <v>2</v>
      </c>
      <c r="J242" s="83">
        <f t="shared" si="2"/>
        <v>0.25</v>
      </c>
      <c r="K242" s="84">
        <v>12</v>
      </c>
      <c r="L242" s="83">
        <f t="shared" si="3"/>
        <v>0.26666666666666666</v>
      </c>
      <c r="M242" s="84">
        <v>3</v>
      </c>
      <c r="N242" s="83">
        <f t="shared" si="4"/>
        <v>0.21428571428571427</v>
      </c>
      <c r="O242" s="113">
        <v>36</v>
      </c>
      <c r="P242" s="114">
        <f t="shared" si="5"/>
        <v>0.20224719101123595</v>
      </c>
      <c r="Q242" s="23"/>
    </row>
    <row r="243" spans="1:17" ht="12.75" customHeight="1">
      <c r="A243" s="26"/>
      <c r="B243" s="80" t="s">
        <v>180</v>
      </c>
      <c r="C243" s="82">
        <v>12</v>
      </c>
      <c r="D243" s="83">
        <f t="shared" si="0"/>
        <v>0.26666666666666666</v>
      </c>
      <c r="E243" s="84">
        <v>1</v>
      </c>
      <c r="F243" s="83">
        <f t="shared" si="6"/>
        <v>0.043478260869565216</v>
      </c>
      <c r="G243" s="84">
        <v>8</v>
      </c>
      <c r="H243" s="83">
        <f t="shared" si="1"/>
        <v>0.18604651162790697</v>
      </c>
      <c r="I243" s="84">
        <v>0</v>
      </c>
      <c r="J243" s="83">
        <f t="shared" si="2"/>
        <v>0</v>
      </c>
      <c r="K243" s="84">
        <v>3</v>
      </c>
      <c r="L243" s="83">
        <f t="shared" si="3"/>
        <v>0.06666666666666667</v>
      </c>
      <c r="M243" s="84">
        <v>3</v>
      </c>
      <c r="N243" s="83">
        <f t="shared" si="4"/>
        <v>0.21428571428571427</v>
      </c>
      <c r="O243" s="113">
        <v>27</v>
      </c>
      <c r="P243" s="114">
        <f t="shared" si="5"/>
        <v>0.15168539325842698</v>
      </c>
      <c r="Q243" s="23"/>
    </row>
    <row r="244" spans="1:17" ht="12.75" customHeight="1">
      <c r="A244" s="26"/>
      <c r="B244" s="80" t="s">
        <v>181</v>
      </c>
      <c r="C244" s="82">
        <v>0</v>
      </c>
      <c r="D244" s="83">
        <f t="shared" si="0"/>
        <v>0</v>
      </c>
      <c r="E244" s="84">
        <v>0</v>
      </c>
      <c r="F244" s="83">
        <f t="shared" si="6"/>
        <v>0</v>
      </c>
      <c r="G244" s="84">
        <v>1</v>
      </c>
      <c r="H244" s="83">
        <f t="shared" si="1"/>
        <v>0.023255813953488372</v>
      </c>
      <c r="I244" s="84">
        <v>0</v>
      </c>
      <c r="J244" s="83">
        <f t="shared" si="2"/>
        <v>0</v>
      </c>
      <c r="K244" s="84">
        <v>0</v>
      </c>
      <c r="L244" s="83">
        <f t="shared" si="3"/>
        <v>0</v>
      </c>
      <c r="M244" s="84">
        <v>1</v>
      </c>
      <c r="N244" s="83">
        <f t="shared" si="4"/>
        <v>0.07142857142857142</v>
      </c>
      <c r="O244" s="113">
        <v>2</v>
      </c>
      <c r="P244" s="114">
        <f t="shared" si="5"/>
        <v>0.011235955056179775</v>
      </c>
      <c r="Q244" s="23"/>
    </row>
    <row r="245" spans="1:17" ht="12.75" customHeight="1">
      <c r="A245" s="26"/>
      <c r="B245" s="80" t="s">
        <v>182</v>
      </c>
      <c r="C245" s="82">
        <v>11</v>
      </c>
      <c r="D245" s="83">
        <f t="shared" si="0"/>
        <v>0.24444444444444444</v>
      </c>
      <c r="E245" s="84">
        <v>2</v>
      </c>
      <c r="F245" s="83">
        <f t="shared" si="6"/>
        <v>0.08695652173913043</v>
      </c>
      <c r="G245" s="84">
        <v>8</v>
      </c>
      <c r="H245" s="83">
        <f t="shared" si="1"/>
        <v>0.18604651162790697</v>
      </c>
      <c r="I245" s="84">
        <v>0</v>
      </c>
      <c r="J245" s="83">
        <f t="shared" si="2"/>
        <v>0</v>
      </c>
      <c r="K245" s="84">
        <v>2</v>
      </c>
      <c r="L245" s="83">
        <f t="shared" si="3"/>
        <v>0.044444444444444446</v>
      </c>
      <c r="M245" s="84">
        <v>4</v>
      </c>
      <c r="N245" s="83">
        <f t="shared" si="4"/>
        <v>0.2857142857142857</v>
      </c>
      <c r="O245" s="113">
        <v>27</v>
      </c>
      <c r="P245" s="114">
        <f t="shared" si="5"/>
        <v>0.15168539325842698</v>
      </c>
      <c r="Q245" s="23"/>
    </row>
    <row r="246" spans="1:17" ht="12.75" customHeight="1">
      <c r="A246" s="26"/>
      <c r="B246" s="80" t="s">
        <v>183</v>
      </c>
      <c r="C246" s="82">
        <v>10</v>
      </c>
      <c r="D246" s="83">
        <f t="shared" si="0"/>
        <v>0.2222222222222222</v>
      </c>
      <c r="E246" s="84">
        <v>8</v>
      </c>
      <c r="F246" s="83">
        <f t="shared" si="6"/>
        <v>0.34782608695652173</v>
      </c>
      <c r="G246" s="84">
        <v>5</v>
      </c>
      <c r="H246" s="83">
        <f t="shared" si="1"/>
        <v>0.11627906976744186</v>
      </c>
      <c r="I246" s="84">
        <v>1</v>
      </c>
      <c r="J246" s="83">
        <f t="shared" si="2"/>
        <v>0.125</v>
      </c>
      <c r="K246" s="84">
        <v>19</v>
      </c>
      <c r="L246" s="83">
        <f t="shared" si="3"/>
        <v>0.4222222222222222</v>
      </c>
      <c r="M246" s="84">
        <v>3</v>
      </c>
      <c r="N246" s="83">
        <f t="shared" si="4"/>
        <v>0.21428571428571427</v>
      </c>
      <c r="O246" s="113">
        <v>46</v>
      </c>
      <c r="P246" s="114">
        <f t="shared" si="5"/>
        <v>0.25842696629213485</v>
      </c>
      <c r="Q246" s="23"/>
    </row>
    <row r="247" spans="1:17" ht="12.75" customHeight="1">
      <c r="A247" s="26"/>
      <c r="B247" s="80" t="s">
        <v>184</v>
      </c>
      <c r="C247" s="82">
        <v>6</v>
      </c>
      <c r="D247" s="83">
        <f t="shared" si="0"/>
        <v>0.13333333333333333</v>
      </c>
      <c r="E247" s="84">
        <v>6</v>
      </c>
      <c r="F247" s="83">
        <f t="shared" si="6"/>
        <v>0.2608695652173913</v>
      </c>
      <c r="G247" s="84">
        <v>8</v>
      </c>
      <c r="H247" s="83">
        <f t="shared" si="1"/>
        <v>0.18604651162790697</v>
      </c>
      <c r="I247" s="84">
        <v>3</v>
      </c>
      <c r="J247" s="83">
        <f t="shared" si="2"/>
        <v>0.375</v>
      </c>
      <c r="K247" s="84">
        <v>16</v>
      </c>
      <c r="L247" s="83">
        <f t="shared" si="3"/>
        <v>0.35555555555555557</v>
      </c>
      <c r="M247" s="84">
        <v>2</v>
      </c>
      <c r="N247" s="83">
        <f t="shared" si="4"/>
        <v>0.14285714285714285</v>
      </c>
      <c r="O247" s="113">
        <v>41</v>
      </c>
      <c r="P247" s="114">
        <f t="shared" si="5"/>
        <v>0.2303370786516854</v>
      </c>
      <c r="Q247" s="23"/>
    </row>
    <row r="248" spans="1:17" ht="12.75" customHeight="1">
      <c r="A248" s="26"/>
      <c r="B248" s="80" t="s">
        <v>185</v>
      </c>
      <c r="C248" s="82">
        <v>0</v>
      </c>
      <c r="D248" s="83">
        <f t="shared" si="0"/>
        <v>0</v>
      </c>
      <c r="E248" s="84">
        <v>0</v>
      </c>
      <c r="F248" s="83">
        <f t="shared" si="6"/>
        <v>0</v>
      </c>
      <c r="G248" s="84">
        <v>1</v>
      </c>
      <c r="H248" s="83">
        <f t="shared" si="1"/>
        <v>0.023255813953488372</v>
      </c>
      <c r="I248" s="84">
        <v>0</v>
      </c>
      <c r="J248" s="83">
        <f t="shared" si="2"/>
        <v>0</v>
      </c>
      <c r="K248" s="84">
        <v>0</v>
      </c>
      <c r="L248" s="83">
        <f t="shared" si="3"/>
        <v>0</v>
      </c>
      <c r="M248" s="84">
        <v>1</v>
      </c>
      <c r="N248" s="83">
        <f t="shared" si="4"/>
        <v>0.07142857142857142</v>
      </c>
      <c r="O248" s="113">
        <v>2</v>
      </c>
      <c r="P248" s="114">
        <f t="shared" si="5"/>
        <v>0.011235955056179775</v>
      </c>
      <c r="Q248" s="23"/>
    </row>
    <row r="249" spans="1:17" ht="12.75" customHeight="1">
      <c r="A249" s="26"/>
      <c r="B249" s="80" t="s">
        <v>186</v>
      </c>
      <c r="C249" s="82">
        <v>3</v>
      </c>
      <c r="D249" s="83">
        <f t="shared" si="0"/>
        <v>0.06666666666666667</v>
      </c>
      <c r="E249" s="84">
        <v>0</v>
      </c>
      <c r="F249" s="83">
        <f t="shared" si="6"/>
        <v>0</v>
      </c>
      <c r="G249" s="84">
        <v>0</v>
      </c>
      <c r="H249" s="83">
        <f t="shared" si="1"/>
        <v>0</v>
      </c>
      <c r="I249" s="84">
        <v>0</v>
      </c>
      <c r="J249" s="83">
        <f t="shared" si="2"/>
        <v>0</v>
      </c>
      <c r="K249" s="84">
        <v>2</v>
      </c>
      <c r="L249" s="83">
        <f t="shared" si="3"/>
        <v>0.044444444444444446</v>
      </c>
      <c r="M249" s="84">
        <v>1</v>
      </c>
      <c r="N249" s="83">
        <f t="shared" si="4"/>
        <v>0.07142857142857142</v>
      </c>
      <c r="O249" s="113">
        <v>6</v>
      </c>
      <c r="P249" s="114">
        <f t="shared" si="5"/>
        <v>0.033707865168539325</v>
      </c>
      <c r="Q249" s="23"/>
    </row>
    <row r="250" spans="1:17" ht="12.75" customHeight="1">
      <c r="A250" s="26"/>
      <c r="B250" s="80" t="s">
        <v>187</v>
      </c>
      <c r="C250" s="82">
        <v>0</v>
      </c>
      <c r="D250" s="83">
        <f t="shared" si="0"/>
        <v>0</v>
      </c>
      <c r="E250" s="84">
        <v>0</v>
      </c>
      <c r="F250" s="83">
        <f t="shared" si="6"/>
        <v>0</v>
      </c>
      <c r="G250" s="84">
        <v>1</v>
      </c>
      <c r="H250" s="83">
        <f t="shared" si="1"/>
        <v>0.023255813953488372</v>
      </c>
      <c r="I250" s="84">
        <v>0</v>
      </c>
      <c r="J250" s="83">
        <f t="shared" si="2"/>
        <v>0</v>
      </c>
      <c r="K250" s="84">
        <v>1</v>
      </c>
      <c r="L250" s="83">
        <f t="shared" si="3"/>
        <v>0.022222222222222223</v>
      </c>
      <c r="M250" s="84">
        <v>0</v>
      </c>
      <c r="N250" s="83">
        <f t="shared" si="4"/>
        <v>0</v>
      </c>
      <c r="O250" s="113">
        <v>2</v>
      </c>
      <c r="P250" s="114">
        <f t="shared" si="5"/>
        <v>0.011235955056179775</v>
      </c>
      <c r="Q250" s="23"/>
    </row>
    <row r="251" spans="1:17" ht="12.75" customHeight="1">
      <c r="A251" s="26"/>
      <c r="B251" s="92" t="s">
        <v>188</v>
      </c>
      <c r="C251" s="82">
        <v>1</v>
      </c>
      <c r="D251" s="83">
        <f t="shared" si="0"/>
        <v>0.022222222222222223</v>
      </c>
      <c r="E251" s="84">
        <v>0</v>
      </c>
      <c r="F251" s="83">
        <f t="shared" si="6"/>
        <v>0</v>
      </c>
      <c r="G251" s="84">
        <v>0</v>
      </c>
      <c r="H251" s="83">
        <f t="shared" si="1"/>
        <v>0</v>
      </c>
      <c r="I251" s="84">
        <v>0</v>
      </c>
      <c r="J251" s="83">
        <f t="shared" si="2"/>
        <v>0</v>
      </c>
      <c r="K251" s="84">
        <v>0</v>
      </c>
      <c r="L251" s="83">
        <f t="shared" si="3"/>
        <v>0</v>
      </c>
      <c r="M251" s="84">
        <v>0</v>
      </c>
      <c r="N251" s="83">
        <f t="shared" si="4"/>
        <v>0</v>
      </c>
      <c r="O251" s="113">
        <v>1</v>
      </c>
      <c r="P251" s="114">
        <f t="shared" si="5"/>
        <v>0.0056179775280898875</v>
      </c>
      <c r="Q251" s="23"/>
    </row>
    <row r="252" spans="1:17" ht="12.75" customHeight="1" thickBot="1">
      <c r="A252" s="26"/>
      <c r="B252" s="86" t="s">
        <v>189</v>
      </c>
      <c r="C252" s="88">
        <v>0</v>
      </c>
      <c r="D252" s="100">
        <f t="shared" si="0"/>
        <v>0</v>
      </c>
      <c r="E252" s="90">
        <v>0</v>
      </c>
      <c r="F252" s="83">
        <f t="shared" si="6"/>
        <v>0</v>
      </c>
      <c r="G252" s="90">
        <v>0</v>
      </c>
      <c r="H252" s="100">
        <f t="shared" si="1"/>
        <v>0</v>
      </c>
      <c r="I252" s="90">
        <v>2</v>
      </c>
      <c r="J252" s="83">
        <f t="shared" si="2"/>
        <v>0.25</v>
      </c>
      <c r="K252" s="90">
        <v>5</v>
      </c>
      <c r="L252" s="83">
        <f t="shared" si="3"/>
        <v>0.1111111111111111</v>
      </c>
      <c r="M252" s="90">
        <v>1</v>
      </c>
      <c r="N252" s="100">
        <f>M252/14</f>
        <v>0.07142857142857142</v>
      </c>
      <c r="O252" s="115">
        <v>8</v>
      </c>
      <c r="P252" s="116">
        <f t="shared" si="5"/>
        <v>0.0449438202247191</v>
      </c>
      <c r="Q252" s="23"/>
    </row>
    <row r="253" spans="1:12" ht="12.75" customHeight="1" thickTop="1">
      <c r="A253" s="26"/>
      <c r="B253" s="24"/>
      <c r="C253" s="19"/>
      <c r="D253" s="20"/>
      <c r="E253" s="19"/>
      <c r="F253" s="101"/>
      <c r="G253" s="19"/>
      <c r="H253" s="20"/>
      <c r="J253" s="102"/>
      <c r="L253" s="102"/>
    </row>
    <row r="254" spans="1:8" ht="25.5" customHeight="1">
      <c r="A254" s="26"/>
      <c r="B254" s="160" t="s">
        <v>171</v>
      </c>
      <c r="C254" s="160"/>
      <c r="D254" s="160"/>
      <c r="E254" s="160"/>
      <c r="F254" s="160"/>
      <c r="G254" s="160"/>
      <c r="H254" s="160"/>
    </row>
    <row r="255" spans="1:8" ht="12.75" customHeight="1">
      <c r="A255" s="26"/>
      <c r="B255" s="24"/>
      <c r="C255" s="19"/>
      <c r="D255" s="25"/>
      <c r="E255" s="19"/>
      <c r="F255" s="20"/>
      <c r="G255" s="19"/>
      <c r="H255" s="25"/>
    </row>
    <row r="256" spans="1:12" ht="14.25" customHeight="1">
      <c r="A256" s="26"/>
      <c r="B256" s="136" t="s">
        <v>172</v>
      </c>
      <c r="C256" s="136"/>
      <c r="D256" s="136"/>
      <c r="E256" s="136"/>
      <c r="F256" s="136"/>
      <c r="G256" s="136"/>
      <c r="H256" s="136"/>
      <c r="I256" s="163"/>
      <c r="J256" s="163"/>
      <c r="K256" s="163"/>
      <c r="L256" s="163"/>
    </row>
    <row r="257" spans="1:12" ht="12.75" customHeight="1" thickBot="1">
      <c r="A257" s="26"/>
      <c r="B257" s="27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7" ht="12.75" customHeight="1" thickTop="1">
      <c r="A258" s="26"/>
      <c r="B258" s="105" t="s">
        <v>0</v>
      </c>
      <c r="C258" s="154" t="s">
        <v>12</v>
      </c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6"/>
      <c r="Q258" s="23"/>
    </row>
    <row r="259" spans="1:17" ht="26.25" customHeight="1">
      <c r="A259" s="26"/>
      <c r="B259" s="106"/>
      <c r="C259" s="157" t="s">
        <v>89</v>
      </c>
      <c r="D259" s="158"/>
      <c r="E259" s="158" t="s">
        <v>90</v>
      </c>
      <c r="F259" s="158"/>
      <c r="G259" s="158" t="s">
        <v>91</v>
      </c>
      <c r="H259" s="158"/>
      <c r="I259" s="158" t="s">
        <v>92</v>
      </c>
      <c r="J259" s="158"/>
      <c r="K259" s="158" t="s">
        <v>93</v>
      </c>
      <c r="L259" s="158"/>
      <c r="M259" s="158" t="s">
        <v>94</v>
      </c>
      <c r="N259" s="158"/>
      <c r="O259" s="158" t="s">
        <v>3</v>
      </c>
      <c r="P259" s="159"/>
      <c r="Q259" s="23"/>
    </row>
    <row r="260" spans="1:17" ht="24.75" customHeight="1" thickBot="1">
      <c r="A260" s="26"/>
      <c r="B260" s="107"/>
      <c r="C260" s="108" t="s">
        <v>4</v>
      </c>
      <c r="D260" s="109" t="s">
        <v>5</v>
      </c>
      <c r="E260" s="109" t="s">
        <v>4</v>
      </c>
      <c r="F260" s="109" t="s">
        <v>5</v>
      </c>
      <c r="G260" s="109" t="s">
        <v>4</v>
      </c>
      <c r="H260" s="109" t="s">
        <v>5</v>
      </c>
      <c r="I260" s="109" t="s">
        <v>4</v>
      </c>
      <c r="J260" s="109" t="s">
        <v>5</v>
      </c>
      <c r="K260" s="109" t="s">
        <v>4</v>
      </c>
      <c r="L260" s="109" t="s">
        <v>5</v>
      </c>
      <c r="M260" s="109" t="s">
        <v>4</v>
      </c>
      <c r="N260" s="109" t="s">
        <v>5</v>
      </c>
      <c r="O260" s="109" t="s">
        <v>4</v>
      </c>
      <c r="P260" s="110" t="s">
        <v>5</v>
      </c>
      <c r="Q260" s="23"/>
    </row>
    <row r="261" spans="1:17" ht="15.75" customHeight="1" thickTop="1">
      <c r="A261" s="26"/>
      <c r="B261" s="93" t="s">
        <v>14</v>
      </c>
      <c r="C261" s="76">
        <v>45</v>
      </c>
      <c r="D261" s="77">
        <v>1</v>
      </c>
      <c r="E261" s="78">
        <v>23</v>
      </c>
      <c r="F261" s="77">
        <v>1</v>
      </c>
      <c r="G261" s="78">
        <v>43</v>
      </c>
      <c r="H261" s="77">
        <v>1</v>
      </c>
      <c r="I261" s="78">
        <v>8</v>
      </c>
      <c r="J261" s="77">
        <v>1</v>
      </c>
      <c r="K261" s="78">
        <v>38</v>
      </c>
      <c r="L261" s="77">
        <v>0.8444444444444444</v>
      </c>
      <c r="M261" s="78">
        <v>13</v>
      </c>
      <c r="N261" s="77">
        <v>0.9285714285714286</v>
      </c>
      <c r="O261" s="78">
        <v>170</v>
      </c>
      <c r="P261" s="79">
        <v>0.9550561797752809</v>
      </c>
      <c r="Q261" s="23"/>
    </row>
    <row r="262" spans="1:17" ht="12.75" customHeight="1" thickBot="1">
      <c r="A262" s="26"/>
      <c r="B262" s="94" t="s">
        <v>28</v>
      </c>
      <c r="C262" s="88">
        <v>0</v>
      </c>
      <c r="D262" s="89">
        <v>0</v>
      </c>
      <c r="E262" s="90">
        <v>0</v>
      </c>
      <c r="F262" s="89">
        <v>0</v>
      </c>
      <c r="G262" s="90">
        <v>0</v>
      </c>
      <c r="H262" s="89">
        <v>0</v>
      </c>
      <c r="I262" s="90">
        <v>0</v>
      </c>
      <c r="J262" s="89">
        <v>0</v>
      </c>
      <c r="K262" s="90">
        <v>7</v>
      </c>
      <c r="L262" s="89">
        <v>0.15555555555555556</v>
      </c>
      <c r="M262" s="90">
        <v>1</v>
      </c>
      <c r="N262" s="89">
        <v>0.07142857142857142</v>
      </c>
      <c r="O262" s="90">
        <v>8</v>
      </c>
      <c r="P262" s="91">
        <v>0.04494382022471911</v>
      </c>
      <c r="Q262" s="23"/>
    </row>
    <row r="263" spans="1:12" ht="12.75" customHeight="1" thickTop="1">
      <c r="A263" s="26"/>
      <c r="B263" s="72"/>
      <c r="C263" s="19"/>
      <c r="D263" s="20"/>
      <c r="E263" s="19"/>
      <c r="F263" s="20"/>
      <c r="G263" s="19"/>
      <c r="H263" s="20"/>
      <c r="I263" s="19"/>
      <c r="J263" s="20"/>
      <c r="K263" s="19"/>
      <c r="L263" s="20"/>
    </row>
    <row r="264" spans="1:12" ht="12.75" customHeight="1">
      <c r="A264" s="26"/>
      <c r="B264" s="136" t="s">
        <v>266</v>
      </c>
      <c r="C264" s="136"/>
      <c r="D264" s="136"/>
      <c r="E264" s="136"/>
      <c r="F264" s="136"/>
      <c r="G264" s="19"/>
      <c r="H264" s="20"/>
      <c r="I264" s="19"/>
      <c r="J264" s="20"/>
      <c r="K264" s="19"/>
      <c r="L264" s="20"/>
    </row>
    <row r="265" spans="1:12" ht="12.75" customHeight="1" thickBot="1">
      <c r="A265" s="26"/>
      <c r="B265" s="72"/>
      <c r="C265" s="19"/>
      <c r="D265" s="20"/>
      <c r="E265" s="19"/>
      <c r="F265" s="20"/>
      <c r="G265" s="19"/>
      <c r="H265" s="20"/>
      <c r="I265" s="19"/>
      <c r="J265" s="20"/>
      <c r="K265" s="19"/>
      <c r="L265" s="20"/>
    </row>
    <row r="266" spans="1:17" ht="27.75" customHeight="1" thickTop="1">
      <c r="A266" s="26"/>
      <c r="B266" s="152" t="s">
        <v>0</v>
      </c>
      <c r="C266" s="154" t="s">
        <v>89</v>
      </c>
      <c r="D266" s="155"/>
      <c r="E266" s="155" t="s">
        <v>90</v>
      </c>
      <c r="F266" s="155"/>
      <c r="G266" s="155" t="s">
        <v>91</v>
      </c>
      <c r="H266" s="155"/>
      <c r="I266" s="155" t="s">
        <v>92</v>
      </c>
      <c r="J266" s="155"/>
      <c r="K266" s="155" t="s">
        <v>93</v>
      </c>
      <c r="L266" s="155"/>
      <c r="M266" s="155" t="s">
        <v>94</v>
      </c>
      <c r="N266" s="155"/>
      <c r="O266" s="155" t="s">
        <v>3</v>
      </c>
      <c r="P266" s="156"/>
      <c r="Q266" s="23"/>
    </row>
    <row r="267" spans="1:17" ht="12.75" customHeight="1" thickBot="1">
      <c r="A267" s="26"/>
      <c r="B267" s="153"/>
      <c r="C267" s="108" t="s">
        <v>4</v>
      </c>
      <c r="D267" s="109" t="s">
        <v>5</v>
      </c>
      <c r="E267" s="109" t="s">
        <v>4</v>
      </c>
      <c r="F267" s="109" t="s">
        <v>5</v>
      </c>
      <c r="G267" s="109" t="s">
        <v>4</v>
      </c>
      <c r="H267" s="109" t="s">
        <v>5</v>
      </c>
      <c r="I267" s="109" t="s">
        <v>4</v>
      </c>
      <c r="J267" s="109" t="s">
        <v>5</v>
      </c>
      <c r="K267" s="109" t="s">
        <v>4</v>
      </c>
      <c r="L267" s="109" t="s">
        <v>5</v>
      </c>
      <c r="M267" s="109" t="s">
        <v>4</v>
      </c>
      <c r="N267" s="109" t="s">
        <v>5</v>
      </c>
      <c r="O267" s="109" t="s">
        <v>4</v>
      </c>
      <c r="P267" s="110" t="s">
        <v>5</v>
      </c>
      <c r="Q267" s="23"/>
    </row>
    <row r="268" spans="1:17" ht="12.75" customHeight="1" thickTop="1">
      <c r="A268" s="26"/>
      <c r="B268" s="95" t="s">
        <v>190</v>
      </c>
      <c r="C268" s="76">
        <v>2</v>
      </c>
      <c r="D268" s="77">
        <v>0.044444444444444446</v>
      </c>
      <c r="E268" s="78">
        <v>1</v>
      </c>
      <c r="F268" s="77">
        <v>0.043478260869565216</v>
      </c>
      <c r="G268" s="78">
        <v>1</v>
      </c>
      <c r="H268" s="77">
        <v>0.023255813953488372</v>
      </c>
      <c r="I268" s="78">
        <v>0</v>
      </c>
      <c r="J268" s="77">
        <v>0</v>
      </c>
      <c r="K268" s="78">
        <v>1</v>
      </c>
      <c r="L268" s="77">
        <v>0.022222222222222223</v>
      </c>
      <c r="M268" s="78">
        <v>0</v>
      </c>
      <c r="N268" s="77">
        <v>0</v>
      </c>
      <c r="O268" s="78">
        <v>5</v>
      </c>
      <c r="P268" s="79">
        <v>0.028089887640449437</v>
      </c>
      <c r="Q268" s="23"/>
    </row>
    <row r="269" spans="1:17" ht="12.75" customHeight="1">
      <c r="A269" s="26"/>
      <c r="B269" s="96" t="s">
        <v>191</v>
      </c>
      <c r="C269" s="82">
        <v>1</v>
      </c>
      <c r="D269" s="83">
        <v>0.022222222222222223</v>
      </c>
      <c r="E269" s="84">
        <v>0</v>
      </c>
      <c r="F269" s="83">
        <v>0</v>
      </c>
      <c r="G269" s="84">
        <v>0</v>
      </c>
      <c r="H269" s="83">
        <v>0</v>
      </c>
      <c r="I269" s="84">
        <v>0</v>
      </c>
      <c r="J269" s="83">
        <v>0</v>
      </c>
      <c r="K269" s="84">
        <v>0</v>
      </c>
      <c r="L269" s="83">
        <v>0</v>
      </c>
      <c r="M269" s="84">
        <v>0</v>
      </c>
      <c r="N269" s="83">
        <v>0</v>
      </c>
      <c r="O269" s="84">
        <v>1</v>
      </c>
      <c r="P269" s="97">
        <v>0.005617977528089888</v>
      </c>
      <c r="Q269" s="23"/>
    </row>
    <row r="270" spans="1:17" ht="12.75" customHeight="1">
      <c r="A270" s="26"/>
      <c r="B270" s="96" t="s">
        <v>192</v>
      </c>
      <c r="C270" s="82">
        <v>0</v>
      </c>
      <c r="D270" s="83">
        <v>0</v>
      </c>
      <c r="E270" s="84">
        <v>1</v>
      </c>
      <c r="F270" s="83">
        <v>0.043478260869565216</v>
      </c>
      <c r="G270" s="84">
        <v>0</v>
      </c>
      <c r="H270" s="83">
        <v>0</v>
      </c>
      <c r="I270" s="84">
        <v>0</v>
      </c>
      <c r="J270" s="83">
        <v>0</v>
      </c>
      <c r="K270" s="84">
        <v>0</v>
      </c>
      <c r="L270" s="83">
        <v>0</v>
      </c>
      <c r="M270" s="84">
        <v>0</v>
      </c>
      <c r="N270" s="83">
        <v>0</v>
      </c>
      <c r="O270" s="84">
        <v>1</v>
      </c>
      <c r="P270" s="97">
        <v>0.005617977528089888</v>
      </c>
      <c r="Q270" s="23"/>
    </row>
    <row r="271" spans="1:17" ht="12.75" customHeight="1">
      <c r="A271" s="26"/>
      <c r="B271" s="96" t="s">
        <v>193</v>
      </c>
      <c r="C271" s="82">
        <v>3</v>
      </c>
      <c r="D271" s="83">
        <v>0.06666666666666667</v>
      </c>
      <c r="E271" s="84">
        <v>0</v>
      </c>
      <c r="F271" s="83">
        <v>0</v>
      </c>
      <c r="G271" s="84">
        <v>2</v>
      </c>
      <c r="H271" s="83">
        <v>0.046511627906976744</v>
      </c>
      <c r="I271" s="84">
        <v>0</v>
      </c>
      <c r="J271" s="83">
        <v>0</v>
      </c>
      <c r="K271" s="84">
        <v>0</v>
      </c>
      <c r="L271" s="83">
        <v>0</v>
      </c>
      <c r="M271" s="84">
        <v>0</v>
      </c>
      <c r="N271" s="83">
        <v>0</v>
      </c>
      <c r="O271" s="84">
        <v>5</v>
      </c>
      <c r="P271" s="85">
        <v>0.028089887640449437</v>
      </c>
      <c r="Q271" s="23"/>
    </row>
    <row r="272" spans="1:17" ht="12.75" customHeight="1">
      <c r="A272" s="26"/>
      <c r="B272" s="96" t="s">
        <v>194</v>
      </c>
      <c r="C272" s="82">
        <v>0</v>
      </c>
      <c r="D272" s="83">
        <v>0</v>
      </c>
      <c r="E272" s="84">
        <v>2</v>
      </c>
      <c r="F272" s="83">
        <v>0.08695652173913043</v>
      </c>
      <c r="G272" s="84">
        <v>0</v>
      </c>
      <c r="H272" s="83">
        <v>0</v>
      </c>
      <c r="I272" s="84">
        <v>0</v>
      </c>
      <c r="J272" s="83">
        <v>0</v>
      </c>
      <c r="K272" s="84">
        <v>0</v>
      </c>
      <c r="L272" s="83">
        <v>0</v>
      </c>
      <c r="M272" s="84">
        <v>0</v>
      </c>
      <c r="N272" s="83">
        <v>0</v>
      </c>
      <c r="O272" s="84">
        <v>2</v>
      </c>
      <c r="P272" s="85">
        <v>0.011235955056179777</v>
      </c>
      <c r="Q272" s="23"/>
    </row>
    <row r="273" spans="1:17" ht="12.75" customHeight="1">
      <c r="A273" s="26"/>
      <c r="B273" s="96" t="s">
        <v>195</v>
      </c>
      <c r="C273" s="82">
        <v>0</v>
      </c>
      <c r="D273" s="83">
        <v>0</v>
      </c>
      <c r="E273" s="84">
        <v>1</v>
      </c>
      <c r="F273" s="83">
        <v>0.043478260869565216</v>
      </c>
      <c r="G273" s="84">
        <v>0</v>
      </c>
      <c r="H273" s="83">
        <v>0</v>
      </c>
      <c r="I273" s="84">
        <v>0</v>
      </c>
      <c r="J273" s="83">
        <v>0</v>
      </c>
      <c r="K273" s="84">
        <v>0</v>
      </c>
      <c r="L273" s="83">
        <v>0</v>
      </c>
      <c r="M273" s="84">
        <v>0</v>
      </c>
      <c r="N273" s="83">
        <v>0</v>
      </c>
      <c r="O273" s="84">
        <v>1</v>
      </c>
      <c r="P273" s="97">
        <v>0.005617977528089888</v>
      </c>
      <c r="Q273" s="23"/>
    </row>
    <row r="274" spans="1:17" ht="12.75" customHeight="1">
      <c r="A274" s="26"/>
      <c r="B274" s="96" t="s">
        <v>196</v>
      </c>
      <c r="C274" s="82">
        <v>1</v>
      </c>
      <c r="D274" s="83">
        <v>0.022222222222222223</v>
      </c>
      <c r="E274" s="84">
        <v>0</v>
      </c>
      <c r="F274" s="83">
        <v>0</v>
      </c>
      <c r="G274" s="84">
        <v>0</v>
      </c>
      <c r="H274" s="83">
        <v>0</v>
      </c>
      <c r="I274" s="84">
        <v>0</v>
      </c>
      <c r="J274" s="83">
        <v>0</v>
      </c>
      <c r="K274" s="84">
        <v>0</v>
      </c>
      <c r="L274" s="83">
        <v>0</v>
      </c>
      <c r="M274" s="84">
        <v>0</v>
      </c>
      <c r="N274" s="83">
        <v>0</v>
      </c>
      <c r="O274" s="84">
        <v>1</v>
      </c>
      <c r="P274" s="97">
        <v>0.005617977528089888</v>
      </c>
      <c r="Q274" s="23"/>
    </row>
    <row r="275" spans="1:17" ht="12.75" customHeight="1">
      <c r="A275" s="26"/>
      <c r="B275" s="96" t="s">
        <v>197</v>
      </c>
      <c r="C275" s="82">
        <v>1</v>
      </c>
      <c r="D275" s="83">
        <v>0.022222222222222223</v>
      </c>
      <c r="E275" s="84">
        <v>1</v>
      </c>
      <c r="F275" s="83">
        <v>0.043478260869565216</v>
      </c>
      <c r="G275" s="84">
        <v>1</v>
      </c>
      <c r="H275" s="83">
        <v>0.023255813953488372</v>
      </c>
      <c r="I275" s="84">
        <v>0</v>
      </c>
      <c r="J275" s="83">
        <v>0</v>
      </c>
      <c r="K275" s="84">
        <v>5</v>
      </c>
      <c r="L275" s="83">
        <v>0.1111111111111111</v>
      </c>
      <c r="M275" s="84">
        <v>1</v>
      </c>
      <c r="N275" s="83">
        <v>0.07142857142857142</v>
      </c>
      <c r="O275" s="84">
        <v>9</v>
      </c>
      <c r="P275" s="85">
        <v>0.05056179775280898</v>
      </c>
      <c r="Q275" s="23"/>
    </row>
    <row r="276" spans="1:17" ht="12.75" customHeight="1">
      <c r="A276" s="26"/>
      <c r="B276" s="96" t="s">
        <v>198</v>
      </c>
      <c r="C276" s="82">
        <v>0</v>
      </c>
      <c r="D276" s="83">
        <v>0</v>
      </c>
      <c r="E276" s="84">
        <v>0</v>
      </c>
      <c r="F276" s="83">
        <v>0</v>
      </c>
      <c r="G276" s="84">
        <v>1</v>
      </c>
      <c r="H276" s="83">
        <v>0.023255813953488372</v>
      </c>
      <c r="I276" s="84">
        <v>0</v>
      </c>
      <c r="J276" s="83">
        <v>0</v>
      </c>
      <c r="K276" s="84">
        <v>0</v>
      </c>
      <c r="L276" s="83">
        <v>0</v>
      </c>
      <c r="M276" s="84">
        <v>0</v>
      </c>
      <c r="N276" s="83">
        <v>0</v>
      </c>
      <c r="O276" s="84">
        <v>1</v>
      </c>
      <c r="P276" s="97">
        <v>0.005617977528089888</v>
      </c>
      <c r="Q276" s="23"/>
    </row>
    <row r="277" spans="1:17" ht="12.75" customHeight="1">
      <c r="A277" s="26"/>
      <c r="B277" s="96" t="s">
        <v>199</v>
      </c>
      <c r="C277" s="82">
        <v>0</v>
      </c>
      <c r="D277" s="83">
        <v>0</v>
      </c>
      <c r="E277" s="84">
        <v>0</v>
      </c>
      <c r="F277" s="83">
        <v>0</v>
      </c>
      <c r="G277" s="84">
        <v>1</v>
      </c>
      <c r="H277" s="83">
        <v>0.023255813953488372</v>
      </c>
      <c r="I277" s="84">
        <v>0</v>
      </c>
      <c r="J277" s="83">
        <v>0</v>
      </c>
      <c r="K277" s="84">
        <v>0</v>
      </c>
      <c r="L277" s="83">
        <v>0</v>
      </c>
      <c r="M277" s="84">
        <v>0</v>
      </c>
      <c r="N277" s="83">
        <v>0</v>
      </c>
      <c r="O277" s="84">
        <v>1</v>
      </c>
      <c r="P277" s="97">
        <v>0.005617977528089888</v>
      </c>
      <c r="Q277" s="23"/>
    </row>
    <row r="278" spans="1:17" ht="12.75" customHeight="1">
      <c r="A278" s="26"/>
      <c r="B278" s="96" t="s">
        <v>200</v>
      </c>
      <c r="C278" s="82">
        <v>1</v>
      </c>
      <c r="D278" s="83">
        <v>0.022222222222222223</v>
      </c>
      <c r="E278" s="84">
        <v>0</v>
      </c>
      <c r="F278" s="83">
        <v>0</v>
      </c>
      <c r="G278" s="84">
        <v>0</v>
      </c>
      <c r="H278" s="83">
        <v>0</v>
      </c>
      <c r="I278" s="84">
        <v>0</v>
      </c>
      <c r="J278" s="83">
        <v>0</v>
      </c>
      <c r="K278" s="84">
        <v>0</v>
      </c>
      <c r="L278" s="83">
        <v>0</v>
      </c>
      <c r="M278" s="84">
        <v>0</v>
      </c>
      <c r="N278" s="83">
        <v>0</v>
      </c>
      <c r="O278" s="84">
        <v>1</v>
      </c>
      <c r="P278" s="97">
        <v>0.005617977528089888</v>
      </c>
      <c r="Q278" s="23"/>
    </row>
    <row r="279" spans="1:17" ht="12.75" customHeight="1">
      <c r="A279" s="26"/>
      <c r="B279" s="96" t="s">
        <v>201</v>
      </c>
      <c r="C279" s="82">
        <v>0</v>
      </c>
      <c r="D279" s="83">
        <v>0</v>
      </c>
      <c r="E279" s="84">
        <v>0</v>
      </c>
      <c r="F279" s="83">
        <v>0</v>
      </c>
      <c r="G279" s="84">
        <v>0</v>
      </c>
      <c r="H279" s="83">
        <v>0</v>
      </c>
      <c r="I279" s="84">
        <v>0</v>
      </c>
      <c r="J279" s="83">
        <v>0</v>
      </c>
      <c r="K279" s="84">
        <v>0</v>
      </c>
      <c r="L279" s="83">
        <v>0</v>
      </c>
      <c r="M279" s="84">
        <v>1</v>
      </c>
      <c r="N279" s="83">
        <v>0.07142857142857142</v>
      </c>
      <c r="O279" s="84">
        <v>1</v>
      </c>
      <c r="P279" s="97">
        <v>0.005617977528089888</v>
      </c>
      <c r="Q279" s="23"/>
    </row>
    <row r="280" spans="1:17" ht="12.75" customHeight="1">
      <c r="A280" s="26"/>
      <c r="B280" s="96" t="s">
        <v>202</v>
      </c>
      <c r="C280" s="82">
        <v>0</v>
      </c>
      <c r="D280" s="83">
        <v>0</v>
      </c>
      <c r="E280" s="84">
        <v>1</v>
      </c>
      <c r="F280" s="83">
        <v>0.043478260869565216</v>
      </c>
      <c r="G280" s="84">
        <v>0</v>
      </c>
      <c r="H280" s="83">
        <v>0</v>
      </c>
      <c r="I280" s="84">
        <v>0</v>
      </c>
      <c r="J280" s="83">
        <v>0</v>
      </c>
      <c r="K280" s="84">
        <v>0</v>
      </c>
      <c r="L280" s="83">
        <v>0</v>
      </c>
      <c r="M280" s="84">
        <v>0</v>
      </c>
      <c r="N280" s="83">
        <v>0</v>
      </c>
      <c r="O280" s="84">
        <v>1</v>
      </c>
      <c r="P280" s="97">
        <v>0.005617977528089888</v>
      </c>
      <c r="Q280" s="23"/>
    </row>
    <row r="281" spans="1:17" ht="12.75" customHeight="1">
      <c r="A281" s="26"/>
      <c r="B281" s="96" t="s">
        <v>203</v>
      </c>
      <c r="C281" s="82">
        <v>1</v>
      </c>
      <c r="D281" s="83">
        <v>0.022222222222222223</v>
      </c>
      <c r="E281" s="84">
        <v>0</v>
      </c>
      <c r="F281" s="83">
        <v>0</v>
      </c>
      <c r="G281" s="84">
        <v>0</v>
      </c>
      <c r="H281" s="83">
        <v>0</v>
      </c>
      <c r="I281" s="84">
        <v>0</v>
      </c>
      <c r="J281" s="83">
        <v>0</v>
      </c>
      <c r="K281" s="84">
        <v>0</v>
      </c>
      <c r="L281" s="83">
        <v>0</v>
      </c>
      <c r="M281" s="84">
        <v>0</v>
      </c>
      <c r="N281" s="83">
        <v>0</v>
      </c>
      <c r="O281" s="84">
        <v>1</v>
      </c>
      <c r="P281" s="97">
        <v>0.005617977528089888</v>
      </c>
      <c r="Q281" s="23"/>
    </row>
    <row r="282" spans="1:17" ht="12.75" customHeight="1">
      <c r="A282" s="26"/>
      <c r="B282" s="96" t="s">
        <v>204</v>
      </c>
      <c r="C282" s="82">
        <v>0</v>
      </c>
      <c r="D282" s="83">
        <v>0</v>
      </c>
      <c r="E282" s="84">
        <v>0</v>
      </c>
      <c r="F282" s="83">
        <v>0</v>
      </c>
      <c r="G282" s="84">
        <v>0</v>
      </c>
      <c r="H282" s="83">
        <v>0</v>
      </c>
      <c r="I282" s="84">
        <v>0</v>
      </c>
      <c r="J282" s="83">
        <v>0</v>
      </c>
      <c r="K282" s="84">
        <v>0</v>
      </c>
      <c r="L282" s="83">
        <v>0</v>
      </c>
      <c r="M282" s="84">
        <v>1</v>
      </c>
      <c r="N282" s="83">
        <v>0.07142857142857142</v>
      </c>
      <c r="O282" s="84">
        <v>1</v>
      </c>
      <c r="P282" s="97">
        <v>0.005617977528089888</v>
      </c>
      <c r="Q282" s="23"/>
    </row>
    <row r="283" spans="1:17" ht="12.75" customHeight="1">
      <c r="A283" s="26"/>
      <c r="B283" s="96" t="s">
        <v>205</v>
      </c>
      <c r="C283" s="82">
        <v>0</v>
      </c>
      <c r="D283" s="83">
        <v>0</v>
      </c>
      <c r="E283" s="84">
        <v>0</v>
      </c>
      <c r="F283" s="83">
        <v>0</v>
      </c>
      <c r="G283" s="84">
        <v>0</v>
      </c>
      <c r="H283" s="83">
        <v>0</v>
      </c>
      <c r="I283" s="84">
        <v>0</v>
      </c>
      <c r="J283" s="83">
        <v>0</v>
      </c>
      <c r="K283" s="84">
        <v>1</v>
      </c>
      <c r="L283" s="83">
        <v>0.022222222222222223</v>
      </c>
      <c r="M283" s="84">
        <v>0</v>
      </c>
      <c r="N283" s="83">
        <v>0</v>
      </c>
      <c r="O283" s="84">
        <v>1</v>
      </c>
      <c r="P283" s="97">
        <v>0.005617977528089888</v>
      </c>
      <c r="Q283" s="23"/>
    </row>
    <row r="284" spans="1:17" ht="12.75" customHeight="1">
      <c r="A284" s="26"/>
      <c r="B284" s="96" t="s">
        <v>206</v>
      </c>
      <c r="C284" s="82">
        <v>0</v>
      </c>
      <c r="D284" s="83">
        <v>0</v>
      </c>
      <c r="E284" s="84">
        <v>0</v>
      </c>
      <c r="F284" s="83">
        <v>0</v>
      </c>
      <c r="G284" s="84">
        <v>0</v>
      </c>
      <c r="H284" s="83">
        <v>0</v>
      </c>
      <c r="I284" s="84">
        <v>0</v>
      </c>
      <c r="J284" s="83">
        <v>0</v>
      </c>
      <c r="K284" s="84">
        <v>0</v>
      </c>
      <c r="L284" s="83">
        <v>0</v>
      </c>
      <c r="M284" s="84">
        <v>1</v>
      </c>
      <c r="N284" s="83">
        <v>0.07142857142857142</v>
      </c>
      <c r="O284" s="84">
        <v>1</v>
      </c>
      <c r="P284" s="97">
        <v>0.005617977528089888</v>
      </c>
      <c r="Q284" s="23"/>
    </row>
    <row r="285" spans="1:17" ht="12.75" customHeight="1">
      <c r="A285" s="26"/>
      <c r="B285" s="96" t="s">
        <v>207</v>
      </c>
      <c r="C285" s="82">
        <v>0</v>
      </c>
      <c r="D285" s="83">
        <v>0</v>
      </c>
      <c r="E285" s="84">
        <v>0</v>
      </c>
      <c r="F285" s="83">
        <v>0</v>
      </c>
      <c r="G285" s="84">
        <v>0</v>
      </c>
      <c r="H285" s="83">
        <v>0</v>
      </c>
      <c r="I285" s="84">
        <v>0</v>
      </c>
      <c r="J285" s="83">
        <v>0</v>
      </c>
      <c r="K285" s="84">
        <v>0</v>
      </c>
      <c r="L285" s="83">
        <v>0</v>
      </c>
      <c r="M285" s="84">
        <v>1</v>
      </c>
      <c r="N285" s="83">
        <v>0.07142857142857142</v>
      </c>
      <c r="O285" s="84">
        <v>1</v>
      </c>
      <c r="P285" s="97">
        <v>0.005617977528089888</v>
      </c>
      <c r="Q285" s="23"/>
    </row>
    <row r="286" spans="1:17" ht="12.75" customHeight="1">
      <c r="A286" s="26"/>
      <c r="B286" s="96" t="s">
        <v>208</v>
      </c>
      <c r="C286" s="82">
        <v>0</v>
      </c>
      <c r="D286" s="83">
        <v>0</v>
      </c>
      <c r="E286" s="84">
        <v>1</v>
      </c>
      <c r="F286" s="83">
        <v>0.043478260869565216</v>
      </c>
      <c r="G286" s="84">
        <v>0</v>
      </c>
      <c r="H286" s="83">
        <v>0</v>
      </c>
      <c r="I286" s="84">
        <v>0</v>
      </c>
      <c r="J286" s="83">
        <v>0</v>
      </c>
      <c r="K286" s="84">
        <v>0</v>
      </c>
      <c r="L286" s="83">
        <v>0</v>
      </c>
      <c r="M286" s="84">
        <v>0</v>
      </c>
      <c r="N286" s="83">
        <v>0</v>
      </c>
      <c r="O286" s="84">
        <v>1</v>
      </c>
      <c r="P286" s="97">
        <v>0.005617977528089888</v>
      </c>
      <c r="Q286" s="23"/>
    </row>
    <row r="287" spans="1:17" ht="12.75" customHeight="1">
      <c r="A287" s="26"/>
      <c r="B287" s="96" t="s">
        <v>209</v>
      </c>
      <c r="C287" s="82">
        <v>0</v>
      </c>
      <c r="D287" s="83">
        <v>0</v>
      </c>
      <c r="E287" s="84">
        <v>0</v>
      </c>
      <c r="F287" s="83">
        <v>0</v>
      </c>
      <c r="G287" s="84">
        <v>0</v>
      </c>
      <c r="H287" s="83">
        <v>0</v>
      </c>
      <c r="I287" s="84">
        <v>0</v>
      </c>
      <c r="J287" s="83">
        <v>0</v>
      </c>
      <c r="K287" s="84">
        <v>1</v>
      </c>
      <c r="L287" s="83">
        <v>0.022222222222222223</v>
      </c>
      <c r="M287" s="84">
        <v>0</v>
      </c>
      <c r="N287" s="83">
        <v>0</v>
      </c>
      <c r="O287" s="84">
        <v>1</v>
      </c>
      <c r="P287" s="97">
        <v>0.005617977528089888</v>
      </c>
      <c r="Q287" s="23"/>
    </row>
    <row r="288" spans="1:17" ht="12.75" customHeight="1">
      <c r="A288" s="26"/>
      <c r="B288" s="96" t="s">
        <v>210</v>
      </c>
      <c r="C288" s="82">
        <v>0</v>
      </c>
      <c r="D288" s="83">
        <v>0</v>
      </c>
      <c r="E288" s="84">
        <v>0</v>
      </c>
      <c r="F288" s="83">
        <v>0</v>
      </c>
      <c r="G288" s="84">
        <v>0</v>
      </c>
      <c r="H288" s="83">
        <v>0</v>
      </c>
      <c r="I288" s="84">
        <v>0</v>
      </c>
      <c r="J288" s="83">
        <v>0</v>
      </c>
      <c r="K288" s="84">
        <v>1</v>
      </c>
      <c r="L288" s="83">
        <v>0.022222222222222223</v>
      </c>
      <c r="M288" s="84">
        <v>0</v>
      </c>
      <c r="N288" s="83">
        <v>0</v>
      </c>
      <c r="O288" s="84">
        <v>1</v>
      </c>
      <c r="P288" s="97">
        <v>0.005617977528089888</v>
      </c>
      <c r="Q288" s="23"/>
    </row>
    <row r="289" spans="1:17" ht="12.75" customHeight="1">
      <c r="A289" s="26"/>
      <c r="B289" s="96" t="s">
        <v>211</v>
      </c>
      <c r="C289" s="82">
        <v>0</v>
      </c>
      <c r="D289" s="83">
        <v>0</v>
      </c>
      <c r="E289" s="84">
        <v>0</v>
      </c>
      <c r="F289" s="83">
        <v>0</v>
      </c>
      <c r="G289" s="84">
        <v>1</v>
      </c>
      <c r="H289" s="83">
        <v>0.023255813953488372</v>
      </c>
      <c r="I289" s="84">
        <v>0</v>
      </c>
      <c r="J289" s="83">
        <v>0</v>
      </c>
      <c r="K289" s="84">
        <v>0</v>
      </c>
      <c r="L289" s="83">
        <v>0</v>
      </c>
      <c r="M289" s="84">
        <v>0</v>
      </c>
      <c r="N289" s="83">
        <v>0</v>
      </c>
      <c r="O289" s="84">
        <v>1</v>
      </c>
      <c r="P289" s="97">
        <v>0.005617977528089888</v>
      </c>
      <c r="Q289" s="23"/>
    </row>
    <row r="290" spans="1:17" ht="12.75" customHeight="1">
      <c r="A290" s="26"/>
      <c r="B290" s="96" t="s">
        <v>212</v>
      </c>
      <c r="C290" s="82">
        <v>0</v>
      </c>
      <c r="D290" s="83">
        <v>0</v>
      </c>
      <c r="E290" s="84">
        <v>1</v>
      </c>
      <c r="F290" s="83">
        <v>0.043478260869565216</v>
      </c>
      <c r="G290" s="84">
        <v>1</v>
      </c>
      <c r="H290" s="83">
        <v>0.023255813953488372</v>
      </c>
      <c r="I290" s="84">
        <v>0</v>
      </c>
      <c r="J290" s="83">
        <v>0</v>
      </c>
      <c r="K290" s="84">
        <v>1</v>
      </c>
      <c r="L290" s="83">
        <v>0.022222222222222223</v>
      </c>
      <c r="M290" s="84">
        <v>0</v>
      </c>
      <c r="N290" s="83">
        <v>0</v>
      </c>
      <c r="O290" s="84">
        <v>3</v>
      </c>
      <c r="P290" s="85">
        <v>0.016853932584269662</v>
      </c>
      <c r="Q290" s="23"/>
    </row>
    <row r="291" spans="1:17" ht="12.75" customHeight="1">
      <c r="A291" s="26"/>
      <c r="B291" s="96" t="s">
        <v>213</v>
      </c>
      <c r="C291" s="82">
        <v>1</v>
      </c>
      <c r="D291" s="83">
        <v>0.022222222222222223</v>
      </c>
      <c r="E291" s="84">
        <v>0</v>
      </c>
      <c r="F291" s="83">
        <v>0</v>
      </c>
      <c r="G291" s="84">
        <v>2</v>
      </c>
      <c r="H291" s="83">
        <v>0.046511627906976744</v>
      </c>
      <c r="I291" s="84">
        <v>0</v>
      </c>
      <c r="J291" s="83">
        <v>0</v>
      </c>
      <c r="K291" s="84">
        <v>1</v>
      </c>
      <c r="L291" s="83">
        <v>0.022222222222222223</v>
      </c>
      <c r="M291" s="84">
        <v>0</v>
      </c>
      <c r="N291" s="83">
        <v>0</v>
      </c>
      <c r="O291" s="84">
        <v>4</v>
      </c>
      <c r="P291" s="85">
        <v>0.022471910112359553</v>
      </c>
      <c r="Q291" s="23"/>
    </row>
    <row r="292" spans="1:17" ht="12.75" customHeight="1">
      <c r="A292" s="26"/>
      <c r="B292" s="96" t="s">
        <v>214</v>
      </c>
      <c r="C292" s="82">
        <v>0</v>
      </c>
      <c r="D292" s="83">
        <v>0</v>
      </c>
      <c r="E292" s="84">
        <v>0</v>
      </c>
      <c r="F292" s="83">
        <v>0</v>
      </c>
      <c r="G292" s="84">
        <v>0</v>
      </c>
      <c r="H292" s="83">
        <v>0</v>
      </c>
      <c r="I292" s="84">
        <v>1</v>
      </c>
      <c r="J292" s="83">
        <v>0.125</v>
      </c>
      <c r="K292" s="84">
        <v>0</v>
      </c>
      <c r="L292" s="83">
        <v>0</v>
      </c>
      <c r="M292" s="84">
        <v>0</v>
      </c>
      <c r="N292" s="83">
        <v>0</v>
      </c>
      <c r="O292" s="84">
        <v>1</v>
      </c>
      <c r="P292" s="97">
        <v>0.005617977528089888</v>
      </c>
      <c r="Q292" s="23"/>
    </row>
    <row r="293" spans="1:17" ht="12.75" customHeight="1">
      <c r="A293" s="26"/>
      <c r="B293" s="96" t="s">
        <v>215</v>
      </c>
      <c r="C293" s="82">
        <v>0</v>
      </c>
      <c r="D293" s="83">
        <v>0</v>
      </c>
      <c r="E293" s="84">
        <v>0</v>
      </c>
      <c r="F293" s="83">
        <v>0</v>
      </c>
      <c r="G293" s="84">
        <v>0</v>
      </c>
      <c r="H293" s="83">
        <v>0</v>
      </c>
      <c r="I293" s="84">
        <v>1</v>
      </c>
      <c r="J293" s="83">
        <v>0.125</v>
      </c>
      <c r="K293" s="84">
        <v>0</v>
      </c>
      <c r="L293" s="83">
        <v>0</v>
      </c>
      <c r="M293" s="84">
        <v>0</v>
      </c>
      <c r="N293" s="83">
        <v>0</v>
      </c>
      <c r="O293" s="84">
        <v>1</v>
      </c>
      <c r="P293" s="97">
        <v>0.005617977528089888</v>
      </c>
      <c r="Q293" s="23"/>
    </row>
    <row r="294" spans="1:17" ht="12.75" customHeight="1">
      <c r="A294" s="26"/>
      <c r="B294" s="96" t="s">
        <v>216</v>
      </c>
      <c r="C294" s="82">
        <v>0</v>
      </c>
      <c r="D294" s="83">
        <v>0</v>
      </c>
      <c r="E294" s="84">
        <v>0</v>
      </c>
      <c r="F294" s="83">
        <v>0</v>
      </c>
      <c r="G294" s="84">
        <v>0</v>
      </c>
      <c r="H294" s="83">
        <v>0</v>
      </c>
      <c r="I294" s="84">
        <v>0</v>
      </c>
      <c r="J294" s="83">
        <v>0</v>
      </c>
      <c r="K294" s="84">
        <v>1</v>
      </c>
      <c r="L294" s="83">
        <v>0.022222222222222223</v>
      </c>
      <c r="M294" s="84">
        <v>0</v>
      </c>
      <c r="N294" s="83">
        <v>0</v>
      </c>
      <c r="O294" s="84">
        <v>1</v>
      </c>
      <c r="P294" s="97">
        <v>0.005617977528089888</v>
      </c>
      <c r="Q294" s="23"/>
    </row>
    <row r="295" spans="1:17" ht="12.75" customHeight="1">
      <c r="A295" s="26"/>
      <c r="B295" s="96" t="s">
        <v>217</v>
      </c>
      <c r="C295" s="82">
        <v>12</v>
      </c>
      <c r="D295" s="83">
        <v>0.26666666666666666</v>
      </c>
      <c r="E295" s="84">
        <v>5</v>
      </c>
      <c r="F295" s="83">
        <v>0.21739130434782608</v>
      </c>
      <c r="G295" s="84">
        <v>10</v>
      </c>
      <c r="H295" s="83">
        <v>0.23255813953488372</v>
      </c>
      <c r="I295" s="84">
        <v>2</v>
      </c>
      <c r="J295" s="83">
        <v>0.25</v>
      </c>
      <c r="K295" s="84">
        <v>22</v>
      </c>
      <c r="L295" s="83">
        <v>0.4888888888888889</v>
      </c>
      <c r="M295" s="84">
        <v>2</v>
      </c>
      <c r="N295" s="83">
        <v>0.14285714285714285</v>
      </c>
      <c r="O295" s="84">
        <v>53</v>
      </c>
      <c r="P295" s="85">
        <v>0.29775280898876405</v>
      </c>
      <c r="Q295" s="23"/>
    </row>
    <row r="296" spans="1:17" ht="12.75" customHeight="1">
      <c r="A296" s="26"/>
      <c r="B296" s="96" t="s">
        <v>218</v>
      </c>
      <c r="C296" s="82">
        <v>0</v>
      </c>
      <c r="D296" s="83">
        <v>0</v>
      </c>
      <c r="E296" s="84">
        <v>1</v>
      </c>
      <c r="F296" s="83">
        <v>0.043478260869565216</v>
      </c>
      <c r="G296" s="84">
        <v>1</v>
      </c>
      <c r="H296" s="83">
        <v>0.023255813953488372</v>
      </c>
      <c r="I296" s="84">
        <v>0</v>
      </c>
      <c r="J296" s="83">
        <v>0</v>
      </c>
      <c r="K296" s="84">
        <v>0</v>
      </c>
      <c r="L296" s="83">
        <v>0</v>
      </c>
      <c r="M296" s="84">
        <v>0</v>
      </c>
      <c r="N296" s="83">
        <v>0</v>
      </c>
      <c r="O296" s="84">
        <v>2</v>
      </c>
      <c r="P296" s="85">
        <v>0.011235955056179777</v>
      </c>
      <c r="Q296" s="23"/>
    </row>
    <row r="297" spans="1:17" ht="12.75" customHeight="1">
      <c r="A297" s="26"/>
      <c r="B297" s="96" t="s">
        <v>219</v>
      </c>
      <c r="C297" s="82">
        <v>3</v>
      </c>
      <c r="D297" s="83">
        <v>0.06666666666666667</v>
      </c>
      <c r="E297" s="84">
        <v>0</v>
      </c>
      <c r="F297" s="83">
        <v>0</v>
      </c>
      <c r="G297" s="84">
        <v>1</v>
      </c>
      <c r="H297" s="83">
        <v>0.023255813953488372</v>
      </c>
      <c r="I297" s="84">
        <v>0</v>
      </c>
      <c r="J297" s="83">
        <v>0</v>
      </c>
      <c r="K297" s="84">
        <v>2</v>
      </c>
      <c r="L297" s="83">
        <v>0.044444444444444446</v>
      </c>
      <c r="M297" s="84">
        <v>0</v>
      </c>
      <c r="N297" s="83">
        <v>0</v>
      </c>
      <c r="O297" s="84">
        <v>6</v>
      </c>
      <c r="P297" s="85">
        <v>0.033707865168539325</v>
      </c>
      <c r="Q297" s="23"/>
    </row>
    <row r="298" spans="1:17" ht="12.75" customHeight="1">
      <c r="A298" s="26"/>
      <c r="B298" s="96" t="s">
        <v>220</v>
      </c>
      <c r="C298" s="82">
        <v>0</v>
      </c>
      <c r="D298" s="83">
        <v>0</v>
      </c>
      <c r="E298" s="84">
        <v>0</v>
      </c>
      <c r="F298" s="83">
        <v>0</v>
      </c>
      <c r="G298" s="84">
        <v>0</v>
      </c>
      <c r="H298" s="83">
        <v>0</v>
      </c>
      <c r="I298" s="84">
        <v>0</v>
      </c>
      <c r="J298" s="83">
        <v>0</v>
      </c>
      <c r="K298" s="84">
        <v>0</v>
      </c>
      <c r="L298" s="83">
        <v>0</v>
      </c>
      <c r="M298" s="84">
        <v>1</v>
      </c>
      <c r="N298" s="83">
        <v>0.07142857142857142</v>
      </c>
      <c r="O298" s="84">
        <v>1</v>
      </c>
      <c r="P298" s="97">
        <v>0.005617977528089888</v>
      </c>
      <c r="Q298" s="23"/>
    </row>
    <row r="299" spans="1:17" ht="12.75" customHeight="1">
      <c r="A299" s="26"/>
      <c r="B299" s="96" t="s">
        <v>221</v>
      </c>
      <c r="C299" s="82">
        <v>1</v>
      </c>
      <c r="D299" s="83">
        <v>0.022222222222222223</v>
      </c>
      <c r="E299" s="84">
        <v>0</v>
      </c>
      <c r="F299" s="83">
        <v>0</v>
      </c>
      <c r="G299" s="84">
        <v>1</v>
      </c>
      <c r="H299" s="83">
        <v>0.023255813953488372</v>
      </c>
      <c r="I299" s="84">
        <v>0</v>
      </c>
      <c r="J299" s="83">
        <v>0</v>
      </c>
      <c r="K299" s="84">
        <v>0</v>
      </c>
      <c r="L299" s="83">
        <v>0</v>
      </c>
      <c r="M299" s="84">
        <v>0</v>
      </c>
      <c r="N299" s="83">
        <v>0</v>
      </c>
      <c r="O299" s="84">
        <v>2</v>
      </c>
      <c r="P299" s="85">
        <v>0.011235955056179777</v>
      </c>
      <c r="Q299" s="23"/>
    </row>
    <row r="300" spans="1:17" ht="12.75" customHeight="1">
      <c r="A300" s="26"/>
      <c r="B300" s="96" t="s">
        <v>222</v>
      </c>
      <c r="C300" s="82">
        <v>0</v>
      </c>
      <c r="D300" s="83">
        <v>0</v>
      </c>
      <c r="E300" s="84">
        <v>1</v>
      </c>
      <c r="F300" s="83">
        <v>0.043478260869565216</v>
      </c>
      <c r="G300" s="84">
        <v>1</v>
      </c>
      <c r="H300" s="83">
        <v>0.023255813953488372</v>
      </c>
      <c r="I300" s="84">
        <v>1</v>
      </c>
      <c r="J300" s="83">
        <v>0.125</v>
      </c>
      <c r="K300" s="84">
        <v>0</v>
      </c>
      <c r="L300" s="83">
        <v>0</v>
      </c>
      <c r="M300" s="84">
        <v>0</v>
      </c>
      <c r="N300" s="83">
        <v>0</v>
      </c>
      <c r="O300" s="84">
        <v>3</v>
      </c>
      <c r="P300" s="85">
        <v>0.016853932584269662</v>
      </c>
      <c r="Q300" s="23"/>
    </row>
    <row r="301" spans="1:17" ht="12.75" customHeight="1">
      <c r="A301" s="26"/>
      <c r="B301" s="96" t="s">
        <v>223</v>
      </c>
      <c r="C301" s="82">
        <v>1</v>
      </c>
      <c r="D301" s="83">
        <v>0.022222222222222223</v>
      </c>
      <c r="E301" s="84">
        <v>2</v>
      </c>
      <c r="F301" s="83">
        <v>0.08695652173913043</v>
      </c>
      <c r="G301" s="84">
        <v>1</v>
      </c>
      <c r="H301" s="83">
        <v>0.023255813953488372</v>
      </c>
      <c r="I301" s="84">
        <v>0</v>
      </c>
      <c r="J301" s="83">
        <v>0</v>
      </c>
      <c r="K301" s="84">
        <v>0</v>
      </c>
      <c r="L301" s="83">
        <v>0</v>
      </c>
      <c r="M301" s="84">
        <v>1</v>
      </c>
      <c r="N301" s="83">
        <v>0.07142857142857142</v>
      </c>
      <c r="O301" s="84">
        <v>5</v>
      </c>
      <c r="P301" s="85">
        <v>0.028089887640449437</v>
      </c>
      <c r="Q301" s="23"/>
    </row>
    <row r="302" spans="1:17" ht="12.75" customHeight="1">
      <c r="A302" s="26"/>
      <c r="B302" s="96" t="s">
        <v>224</v>
      </c>
      <c r="C302" s="82">
        <v>0</v>
      </c>
      <c r="D302" s="83">
        <v>0</v>
      </c>
      <c r="E302" s="84">
        <v>0</v>
      </c>
      <c r="F302" s="83">
        <v>0</v>
      </c>
      <c r="G302" s="84">
        <v>1</v>
      </c>
      <c r="H302" s="83">
        <v>0.023255813953488372</v>
      </c>
      <c r="I302" s="84">
        <v>0</v>
      </c>
      <c r="J302" s="83">
        <v>0</v>
      </c>
      <c r="K302" s="84">
        <v>0</v>
      </c>
      <c r="L302" s="83">
        <v>0</v>
      </c>
      <c r="M302" s="84">
        <v>0</v>
      </c>
      <c r="N302" s="83">
        <v>0</v>
      </c>
      <c r="O302" s="84">
        <v>1</v>
      </c>
      <c r="P302" s="97">
        <v>0.005617977528089888</v>
      </c>
      <c r="Q302" s="23"/>
    </row>
    <row r="303" spans="1:17" ht="12.75" customHeight="1">
      <c r="A303" s="26"/>
      <c r="B303" s="96" t="s">
        <v>225</v>
      </c>
      <c r="C303" s="82">
        <v>0</v>
      </c>
      <c r="D303" s="83">
        <v>0</v>
      </c>
      <c r="E303" s="84">
        <v>0</v>
      </c>
      <c r="F303" s="83">
        <v>0</v>
      </c>
      <c r="G303" s="84">
        <v>0</v>
      </c>
      <c r="H303" s="83">
        <v>0</v>
      </c>
      <c r="I303" s="84">
        <v>1</v>
      </c>
      <c r="J303" s="83">
        <v>0.125</v>
      </c>
      <c r="K303" s="84">
        <v>0</v>
      </c>
      <c r="L303" s="83">
        <v>0</v>
      </c>
      <c r="M303" s="84">
        <v>0</v>
      </c>
      <c r="N303" s="83">
        <v>0</v>
      </c>
      <c r="O303" s="84">
        <v>1</v>
      </c>
      <c r="P303" s="97">
        <v>0.005617977528089888</v>
      </c>
      <c r="Q303" s="23"/>
    </row>
    <row r="304" spans="1:17" ht="12.75" customHeight="1">
      <c r="A304" s="26"/>
      <c r="B304" s="96" t="s">
        <v>226</v>
      </c>
      <c r="C304" s="82">
        <v>4</v>
      </c>
      <c r="D304" s="83">
        <v>0.08888888888888889</v>
      </c>
      <c r="E304" s="84">
        <v>0</v>
      </c>
      <c r="F304" s="83">
        <v>0</v>
      </c>
      <c r="G304" s="84">
        <v>0</v>
      </c>
      <c r="H304" s="83">
        <v>0</v>
      </c>
      <c r="I304" s="84">
        <v>0</v>
      </c>
      <c r="J304" s="83">
        <v>0</v>
      </c>
      <c r="K304" s="84">
        <v>0</v>
      </c>
      <c r="L304" s="83">
        <v>0</v>
      </c>
      <c r="M304" s="84">
        <v>0</v>
      </c>
      <c r="N304" s="83">
        <v>0</v>
      </c>
      <c r="O304" s="84">
        <v>4</v>
      </c>
      <c r="P304" s="85">
        <v>0.022471910112359553</v>
      </c>
      <c r="Q304" s="23"/>
    </row>
    <row r="305" spans="1:17" ht="12.75" customHeight="1">
      <c r="A305" s="26"/>
      <c r="B305" s="96" t="s">
        <v>227</v>
      </c>
      <c r="C305" s="82">
        <v>0</v>
      </c>
      <c r="D305" s="83">
        <v>0</v>
      </c>
      <c r="E305" s="84">
        <v>0</v>
      </c>
      <c r="F305" s="83">
        <v>0</v>
      </c>
      <c r="G305" s="84">
        <v>1</v>
      </c>
      <c r="H305" s="83">
        <v>0.023255813953488372</v>
      </c>
      <c r="I305" s="84">
        <v>0</v>
      </c>
      <c r="J305" s="83">
        <v>0</v>
      </c>
      <c r="K305" s="84">
        <v>0</v>
      </c>
      <c r="L305" s="83">
        <v>0</v>
      </c>
      <c r="M305" s="84">
        <v>0</v>
      </c>
      <c r="N305" s="83">
        <v>0</v>
      </c>
      <c r="O305" s="84">
        <v>1</v>
      </c>
      <c r="P305" s="97">
        <v>0.005617977528089888</v>
      </c>
      <c r="Q305" s="23"/>
    </row>
    <row r="306" spans="1:17" ht="12.75" customHeight="1">
      <c r="A306" s="26"/>
      <c r="B306" s="96" t="s">
        <v>228</v>
      </c>
      <c r="C306" s="82">
        <v>0</v>
      </c>
      <c r="D306" s="83">
        <v>0</v>
      </c>
      <c r="E306" s="84">
        <v>1</v>
      </c>
      <c r="F306" s="83">
        <v>0.043478260869565216</v>
      </c>
      <c r="G306" s="84">
        <v>0</v>
      </c>
      <c r="H306" s="83">
        <v>0</v>
      </c>
      <c r="I306" s="84">
        <v>0</v>
      </c>
      <c r="J306" s="83">
        <v>0</v>
      </c>
      <c r="K306" s="84">
        <v>0</v>
      </c>
      <c r="L306" s="83">
        <v>0</v>
      </c>
      <c r="M306" s="84">
        <v>0</v>
      </c>
      <c r="N306" s="83">
        <v>0</v>
      </c>
      <c r="O306" s="84">
        <v>1</v>
      </c>
      <c r="P306" s="97">
        <v>0.005617977528089888</v>
      </c>
      <c r="Q306" s="23"/>
    </row>
    <row r="307" spans="1:17" ht="12.75" customHeight="1">
      <c r="A307" s="26"/>
      <c r="B307" s="96" t="s">
        <v>229</v>
      </c>
      <c r="C307" s="82">
        <v>1</v>
      </c>
      <c r="D307" s="83">
        <v>0.022222222222222223</v>
      </c>
      <c r="E307" s="84">
        <v>0</v>
      </c>
      <c r="F307" s="83">
        <v>0</v>
      </c>
      <c r="G307" s="84">
        <v>0</v>
      </c>
      <c r="H307" s="83">
        <v>0</v>
      </c>
      <c r="I307" s="84">
        <v>0</v>
      </c>
      <c r="J307" s="83">
        <v>0</v>
      </c>
      <c r="K307" s="84">
        <v>2</v>
      </c>
      <c r="L307" s="83">
        <v>0.044444444444444446</v>
      </c>
      <c r="M307" s="84">
        <v>0</v>
      </c>
      <c r="N307" s="83">
        <v>0</v>
      </c>
      <c r="O307" s="84">
        <v>3</v>
      </c>
      <c r="P307" s="85">
        <v>0.016853932584269662</v>
      </c>
      <c r="Q307" s="23"/>
    </row>
    <row r="308" spans="1:17" ht="12.75" customHeight="1">
      <c r="A308" s="26"/>
      <c r="B308" s="96" t="s">
        <v>230</v>
      </c>
      <c r="C308" s="82">
        <v>0</v>
      </c>
      <c r="D308" s="83">
        <v>0</v>
      </c>
      <c r="E308" s="84">
        <v>1</v>
      </c>
      <c r="F308" s="83">
        <v>0.043478260869565216</v>
      </c>
      <c r="G308" s="84">
        <v>0</v>
      </c>
      <c r="H308" s="83">
        <v>0</v>
      </c>
      <c r="I308" s="84">
        <v>0</v>
      </c>
      <c r="J308" s="83">
        <v>0</v>
      </c>
      <c r="K308" s="84">
        <v>0</v>
      </c>
      <c r="L308" s="83">
        <v>0</v>
      </c>
      <c r="M308" s="84">
        <v>0</v>
      </c>
      <c r="N308" s="83">
        <v>0</v>
      </c>
      <c r="O308" s="84">
        <v>1</v>
      </c>
      <c r="P308" s="97">
        <v>0.005617977528089888</v>
      </c>
      <c r="Q308" s="23"/>
    </row>
    <row r="309" spans="1:17" ht="12.75" customHeight="1">
      <c r="A309" s="26"/>
      <c r="B309" s="96" t="s">
        <v>231</v>
      </c>
      <c r="C309" s="82">
        <v>0</v>
      </c>
      <c r="D309" s="83">
        <v>0</v>
      </c>
      <c r="E309" s="84">
        <v>0</v>
      </c>
      <c r="F309" s="83">
        <v>0</v>
      </c>
      <c r="G309" s="84">
        <v>0</v>
      </c>
      <c r="H309" s="83">
        <v>0</v>
      </c>
      <c r="I309" s="84">
        <v>0</v>
      </c>
      <c r="J309" s="83">
        <v>0</v>
      </c>
      <c r="K309" s="84">
        <v>1</v>
      </c>
      <c r="L309" s="83">
        <v>0.022222222222222223</v>
      </c>
      <c r="M309" s="84">
        <v>0</v>
      </c>
      <c r="N309" s="83">
        <v>0</v>
      </c>
      <c r="O309" s="84">
        <v>1</v>
      </c>
      <c r="P309" s="97">
        <v>0.005617977528089888</v>
      </c>
      <c r="Q309" s="23"/>
    </row>
    <row r="310" spans="1:17" ht="12.75" customHeight="1">
      <c r="A310" s="26"/>
      <c r="B310" s="96" t="s">
        <v>232</v>
      </c>
      <c r="C310" s="82">
        <v>0</v>
      </c>
      <c r="D310" s="83">
        <v>0</v>
      </c>
      <c r="E310" s="84">
        <v>0</v>
      </c>
      <c r="F310" s="83">
        <v>0</v>
      </c>
      <c r="G310" s="84">
        <v>0</v>
      </c>
      <c r="H310" s="83">
        <v>0</v>
      </c>
      <c r="I310" s="84">
        <v>0</v>
      </c>
      <c r="J310" s="83">
        <v>0</v>
      </c>
      <c r="K310" s="84">
        <v>1</v>
      </c>
      <c r="L310" s="83">
        <v>0.022222222222222223</v>
      </c>
      <c r="M310" s="84">
        <v>0</v>
      </c>
      <c r="N310" s="83">
        <v>0</v>
      </c>
      <c r="O310" s="84">
        <v>1</v>
      </c>
      <c r="P310" s="97">
        <v>0.005617977528089888</v>
      </c>
      <c r="Q310" s="23"/>
    </row>
    <row r="311" spans="1:17" ht="12.75" customHeight="1">
      <c r="A311" s="26"/>
      <c r="B311" s="96" t="s">
        <v>233</v>
      </c>
      <c r="C311" s="82">
        <v>5</v>
      </c>
      <c r="D311" s="83">
        <v>0.1111111111111111</v>
      </c>
      <c r="E311" s="84">
        <v>0</v>
      </c>
      <c r="F311" s="83">
        <v>0</v>
      </c>
      <c r="G311" s="84">
        <v>0</v>
      </c>
      <c r="H311" s="83">
        <v>0</v>
      </c>
      <c r="I311" s="84">
        <v>1</v>
      </c>
      <c r="J311" s="83">
        <v>0.125</v>
      </c>
      <c r="K311" s="84">
        <v>0</v>
      </c>
      <c r="L311" s="83">
        <v>0</v>
      </c>
      <c r="M311" s="84">
        <v>0</v>
      </c>
      <c r="N311" s="83">
        <v>0</v>
      </c>
      <c r="O311" s="84">
        <v>6</v>
      </c>
      <c r="P311" s="85">
        <v>0.033707865168539325</v>
      </c>
      <c r="Q311" s="23"/>
    </row>
    <row r="312" spans="1:17" ht="12.75" customHeight="1">
      <c r="A312" s="26"/>
      <c r="B312" s="96" t="s">
        <v>234</v>
      </c>
      <c r="C312" s="82">
        <v>4</v>
      </c>
      <c r="D312" s="83">
        <v>0.08888888888888889</v>
      </c>
      <c r="E312" s="84">
        <v>0</v>
      </c>
      <c r="F312" s="83">
        <v>0</v>
      </c>
      <c r="G312" s="84">
        <v>5</v>
      </c>
      <c r="H312" s="83">
        <v>0.11627906976744186</v>
      </c>
      <c r="I312" s="84">
        <v>0</v>
      </c>
      <c r="J312" s="83">
        <v>0</v>
      </c>
      <c r="K312" s="84">
        <v>0</v>
      </c>
      <c r="L312" s="83">
        <v>0</v>
      </c>
      <c r="M312" s="84">
        <v>1</v>
      </c>
      <c r="N312" s="83">
        <v>0.07142857142857142</v>
      </c>
      <c r="O312" s="84">
        <v>10</v>
      </c>
      <c r="P312" s="85">
        <v>0.056179775280898875</v>
      </c>
      <c r="Q312" s="23"/>
    </row>
    <row r="313" spans="1:17" ht="12.75" customHeight="1">
      <c r="A313" s="26"/>
      <c r="B313" s="96" t="s">
        <v>235</v>
      </c>
      <c r="C313" s="82">
        <v>0</v>
      </c>
      <c r="D313" s="83">
        <v>0</v>
      </c>
      <c r="E313" s="84">
        <v>0</v>
      </c>
      <c r="F313" s="83">
        <v>0</v>
      </c>
      <c r="G313" s="84">
        <v>0</v>
      </c>
      <c r="H313" s="83">
        <v>0</v>
      </c>
      <c r="I313" s="84">
        <v>0</v>
      </c>
      <c r="J313" s="83">
        <v>0</v>
      </c>
      <c r="K313" s="84">
        <v>1</v>
      </c>
      <c r="L313" s="83">
        <v>0.022222222222222223</v>
      </c>
      <c r="M313" s="84">
        <v>0</v>
      </c>
      <c r="N313" s="83">
        <v>0</v>
      </c>
      <c r="O313" s="84">
        <v>1</v>
      </c>
      <c r="P313" s="97">
        <v>0.005617977528089888</v>
      </c>
      <c r="Q313" s="23"/>
    </row>
    <row r="314" spans="1:17" ht="12.75" customHeight="1">
      <c r="A314" s="26"/>
      <c r="B314" s="96" t="s">
        <v>236</v>
      </c>
      <c r="C314" s="82">
        <v>0</v>
      </c>
      <c r="D314" s="83">
        <v>0</v>
      </c>
      <c r="E314" s="84">
        <v>0</v>
      </c>
      <c r="F314" s="83">
        <v>0</v>
      </c>
      <c r="G314" s="84">
        <v>2</v>
      </c>
      <c r="H314" s="83">
        <v>0.046511627906976744</v>
      </c>
      <c r="I314" s="84">
        <v>0</v>
      </c>
      <c r="J314" s="83">
        <v>0</v>
      </c>
      <c r="K314" s="84">
        <v>0</v>
      </c>
      <c r="L314" s="83">
        <v>0</v>
      </c>
      <c r="M314" s="84">
        <v>1</v>
      </c>
      <c r="N314" s="83">
        <v>0.07142857142857142</v>
      </c>
      <c r="O314" s="84">
        <v>3</v>
      </c>
      <c r="P314" s="85">
        <v>0.016853932584269662</v>
      </c>
      <c r="Q314" s="23"/>
    </row>
    <row r="315" spans="1:17" ht="12.75" customHeight="1">
      <c r="A315" s="26"/>
      <c r="B315" s="96" t="s">
        <v>237</v>
      </c>
      <c r="C315" s="82">
        <v>0</v>
      </c>
      <c r="D315" s="83">
        <v>0</v>
      </c>
      <c r="E315" s="84">
        <v>0</v>
      </c>
      <c r="F315" s="83">
        <v>0</v>
      </c>
      <c r="G315" s="84">
        <v>0</v>
      </c>
      <c r="H315" s="83">
        <v>0</v>
      </c>
      <c r="I315" s="84">
        <v>0</v>
      </c>
      <c r="J315" s="83">
        <v>0</v>
      </c>
      <c r="K315" s="84">
        <v>0</v>
      </c>
      <c r="L315" s="83">
        <v>0</v>
      </c>
      <c r="M315" s="84">
        <v>1</v>
      </c>
      <c r="N315" s="83">
        <v>0.07142857142857142</v>
      </c>
      <c r="O315" s="84">
        <v>1</v>
      </c>
      <c r="P315" s="97">
        <v>0.005617977528089888</v>
      </c>
      <c r="Q315" s="23"/>
    </row>
    <row r="316" spans="1:17" ht="12.75" customHeight="1">
      <c r="A316" s="26"/>
      <c r="B316" s="96" t="s">
        <v>238</v>
      </c>
      <c r="C316" s="82">
        <v>1</v>
      </c>
      <c r="D316" s="83">
        <v>0.022222222222222223</v>
      </c>
      <c r="E316" s="84">
        <v>0</v>
      </c>
      <c r="F316" s="83">
        <v>0</v>
      </c>
      <c r="G316" s="84">
        <v>0</v>
      </c>
      <c r="H316" s="83">
        <v>0</v>
      </c>
      <c r="I316" s="84">
        <v>0</v>
      </c>
      <c r="J316" s="83">
        <v>0</v>
      </c>
      <c r="K316" s="84">
        <v>0</v>
      </c>
      <c r="L316" s="83">
        <v>0</v>
      </c>
      <c r="M316" s="84">
        <v>0</v>
      </c>
      <c r="N316" s="83">
        <v>0</v>
      </c>
      <c r="O316" s="84">
        <v>1</v>
      </c>
      <c r="P316" s="97">
        <v>0.005617977528089888</v>
      </c>
      <c r="Q316" s="23"/>
    </row>
    <row r="317" spans="1:17" ht="12.75" customHeight="1">
      <c r="A317" s="26"/>
      <c r="B317" s="96" t="s">
        <v>239</v>
      </c>
      <c r="C317" s="82">
        <v>1</v>
      </c>
      <c r="D317" s="83">
        <v>0.022222222222222223</v>
      </c>
      <c r="E317" s="84">
        <v>0</v>
      </c>
      <c r="F317" s="83">
        <v>0</v>
      </c>
      <c r="G317" s="84">
        <v>1</v>
      </c>
      <c r="H317" s="83">
        <v>0.023255813953488372</v>
      </c>
      <c r="I317" s="84">
        <v>0</v>
      </c>
      <c r="J317" s="83">
        <v>0</v>
      </c>
      <c r="K317" s="84">
        <v>0</v>
      </c>
      <c r="L317" s="83">
        <v>0</v>
      </c>
      <c r="M317" s="84">
        <v>0</v>
      </c>
      <c r="N317" s="83">
        <v>0</v>
      </c>
      <c r="O317" s="84">
        <v>2</v>
      </c>
      <c r="P317" s="85">
        <v>0.011235955056179777</v>
      </c>
      <c r="Q317" s="23"/>
    </row>
    <row r="318" spans="1:17" ht="12.75" customHeight="1">
      <c r="A318" s="26"/>
      <c r="B318" s="96" t="s">
        <v>240</v>
      </c>
      <c r="C318" s="82">
        <v>0</v>
      </c>
      <c r="D318" s="83">
        <v>0</v>
      </c>
      <c r="E318" s="84">
        <v>0</v>
      </c>
      <c r="F318" s="83">
        <v>0</v>
      </c>
      <c r="G318" s="84">
        <v>1</v>
      </c>
      <c r="H318" s="83">
        <v>0.023255813953488372</v>
      </c>
      <c r="I318" s="84">
        <v>0</v>
      </c>
      <c r="J318" s="83">
        <v>0</v>
      </c>
      <c r="K318" s="84">
        <v>0</v>
      </c>
      <c r="L318" s="83">
        <v>0</v>
      </c>
      <c r="M318" s="84">
        <v>0</v>
      </c>
      <c r="N318" s="83">
        <v>0</v>
      </c>
      <c r="O318" s="84">
        <v>1</v>
      </c>
      <c r="P318" s="97">
        <v>0.005617977528089888</v>
      </c>
      <c r="Q318" s="23"/>
    </row>
    <row r="319" spans="1:17" ht="12.75" customHeight="1">
      <c r="A319" s="26"/>
      <c r="B319" s="96" t="s">
        <v>241</v>
      </c>
      <c r="C319" s="82">
        <v>1</v>
      </c>
      <c r="D319" s="83">
        <v>0.022222222222222223</v>
      </c>
      <c r="E319" s="84">
        <v>0</v>
      </c>
      <c r="F319" s="83">
        <v>0</v>
      </c>
      <c r="G319" s="84">
        <v>2</v>
      </c>
      <c r="H319" s="83">
        <v>0.046511627906976744</v>
      </c>
      <c r="I319" s="84">
        <v>0</v>
      </c>
      <c r="J319" s="83">
        <v>0</v>
      </c>
      <c r="K319" s="84">
        <v>0</v>
      </c>
      <c r="L319" s="83">
        <v>0</v>
      </c>
      <c r="M319" s="84">
        <v>0</v>
      </c>
      <c r="N319" s="83">
        <v>0</v>
      </c>
      <c r="O319" s="84">
        <v>3</v>
      </c>
      <c r="P319" s="85">
        <v>0.016853932584269662</v>
      </c>
      <c r="Q319" s="23"/>
    </row>
    <row r="320" spans="1:17" ht="12.75" customHeight="1">
      <c r="A320" s="26"/>
      <c r="B320" s="96" t="s">
        <v>242</v>
      </c>
      <c r="C320" s="82">
        <v>0</v>
      </c>
      <c r="D320" s="83">
        <v>0</v>
      </c>
      <c r="E320" s="84">
        <v>1</v>
      </c>
      <c r="F320" s="83">
        <v>0.043478260869565216</v>
      </c>
      <c r="G320" s="84">
        <v>0</v>
      </c>
      <c r="H320" s="83">
        <v>0</v>
      </c>
      <c r="I320" s="84">
        <v>0</v>
      </c>
      <c r="J320" s="83">
        <v>0</v>
      </c>
      <c r="K320" s="84">
        <v>0</v>
      </c>
      <c r="L320" s="83">
        <v>0</v>
      </c>
      <c r="M320" s="84">
        <v>1</v>
      </c>
      <c r="N320" s="83">
        <v>0.07142857142857142</v>
      </c>
      <c r="O320" s="84">
        <v>2</v>
      </c>
      <c r="P320" s="85">
        <v>0.011235955056179777</v>
      </c>
      <c r="Q320" s="23"/>
    </row>
    <row r="321" spans="1:17" ht="12.75" customHeight="1">
      <c r="A321" s="26"/>
      <c r="B321" s="96" t="s">
        <v>243</v>
      </c>
      <c r="C321" s="82">
        <v>0</v>
      </c>
      <c r="D321" s="83">
        <v>0</v>
      </c>
      <c r="E321" s="84">
        <v>0</v>
      </c>
      <c r="F321" s="83">
        <v>0</v>
      </c>
      <c r="G321" s="84">
        <v>0</v>
      </c>
      <c r="H321" s="83">
        <v>0</v>
      </c>
      <c r="I321" s="84">
        <v>0</v>
      </c>
      <c r="J321" s="83">
        <v>0</v>
      </c>
      <c r="K321" s="84">
        <v>0</v>
      </c>
      <c r="L321" s="83">
        <v>0</v>
      </c>
      <c r="M321" s="84">
        <v>1</v>
      </c>
      <c r="N321" s="83">
        <v>0.07142857142857142</v>
      </c>
      <c r="O321" s="84">
        <v>1</v>
      </c>
      <c r="P321" s="97">
        <v>0.005617977528089888</v>
      </c>
      <c r="Q321" s="23"/>
    </row>
    <row r="322" spans="1:17" ht="12.75" customHeight="1">
      <c r="A322" s="26"/>
      <c r="B322" s="96" t="s">
        <v>244</v>
      </c>
      <c r="C322" s="82">
        <v>0</v>
      </c>
      <c r="D322" s="83">
        <v>0</v>
      </c>
      <c r="E322" s="84">
        <v>0</v>
      </c>
      <c r="F322" s="83">
        <v>0</v>
      </c>
      <c r="G322" s="84">
        <v>1</v>
      </c>
      <c r="H322" s="83">
        <v>0.023255813953488372</v>
      </c>
      <c r="I322" s="84">
        <v>1</v>
      </c>
      <c r="J322" s="83">
        <v>0.125</v>
      </c>
      <c r="K322" s="84">
        <v>2</v>
      </c>
      <c r="L322" s="83">
        <v>0.044444444444444446</v>
      </c>
      <c r="M322" s="84">
        <v>0</v>
      </c>
      <c r="N322" s="83">
        <v>0</v>
      </c>
      <c r="O322" s="84">
        <v>4</v>
      </c>
      <c r="P322" s="85">
        <v>0.022471910112359553</v>
      </c>
      <c r="Q322" s="23"/>
    </row>
    <row r="323" spans="1:17" ht="12.75" customHeight="1">
      <c r="A323" s="26"/>
      <c r="B323" s="96" t="s">
        <v>245</v>
      </c>
      <c r="C323" s="82">
        <v>0</v>
      </c>
      <c r="D323" s="83">
        <v>0</v>
      </c>
      <c r="E323" s="84">
        <v>1</v>
      </c>
      <c r="F323" s="83">
        <v>0.043478260869565216</v>
      </c>
      <c r="G323" s="84">
        <v>1</v>
      </c>
      <c r="H323" s="83">
        <v>0.023255813953488372</v>
      </c>
      <c r="I323" s="84">
        <v>0</v>
      </c>
      <c r="J323" s="83">
        <v>0</v>
      </c>
      <c r="K323" s="84">
        <v>0</v>
      </c>
      <c r="L323" s="83">
        <v>0</v>
      </c>
      <c r="M323" s="84">
        <v>0</v>
      </c>
      <c r="N323" s="83">
        <v>0</v>
      </c>
      <c r="O323" s="84">
        <v>2</v>
      </c>
      <c r="P323" s="85">
        <v>0.011235955056179777</v>
      </c>
      <c r="Q323" s="23"/>
    </row>
    <row r="324" spans="1:17" ht="12.75" customHeight="1">
      <c r="A324" s="26"/>
      <c r="B324" s="96" t="s">
        <v>246</v>
      </c>
      <c r="C324" s="82">
        <v>0</v>
      </c>
      <c r="D324" s="83">
        <v>0</v>
      </c>
      <c r="E324" s="84">
        <v>1</v>
      </c>
      <c r="F324" s="83">
        <v>0.043478260869565216</v>
      </c>
      <c r="G324" s="84">
        <v>1</v>
      </c>
      <c r="H324" s="83">
        <v>0.023255813953488372</v>
      </c>
      <c r="I324" s="84">
        <v>0</v>
      </c>
      <c r="J324" s="83">
        <v>0</v>
      </c>
      <c r="K324" s="84">
        <v>0</v>
      </c>
      <c r="L324" s="83">
        <v>0</v>
      </c>
      <c r="M324" s="84">
        <v>0</v>
      </c>
      <c r="N324" s="83">
        <v>0</v>
      </c>
      <c r="O324" s="84">
        <v>2</v>
      </c>
      <c r="P324" s="85">
        <v>0.011235955056179777</v>
      </c>
      <c r="Q324" s="23"/>
    </row>
    <row r="325" spans="1:17" ht="12.75" customHeight="1">
      <c r="A325" s="26"/>
      <c r="B325" s="96" t="s">
        <v>247</v>
      </c>
      <c r="C325" s="82">
        <v>0</v>
      </c>
      <c r="D325" s="83">
        <v>0</v>
      </c>
      <c r="E325" s="84">
        <v>0</v>
      </c>
      <c r="F325" s="83">
        <v>0</v>
      </c>
      <c r="G325" s="84">
        <v>2</v>
      </c>
      <c r="H325" s="83">
        <v>0.046511627906976744</v>
      </c>
      <c r="I325" s="84">
        <v>0</v>
      </c>
      <c r="J325" s="83">
        <v>0</v>
      </c>
      <c r="K325" s="84">
        <v>1</v>
      </c>
      <c r="L325" s="83">
        <v>0.022222222222222223</v>
      </c>
      <c r="M325" s="84">
        <v>0</v>
      </c>
      <c r="N325" s="83">
        <v>0</v>
      </c>
      <c r="O325" s="84">
        <v>3</v>
      </c>
      <c r="P325" s="85">
        <v>0.016853932584269662</v>
      </c>
      <c r="Q325" s="23"/>
    </row>
    <row r="326" spans="1:17" ht="12.75" customHeight="1">
      <c r="A326" s="26"/>
      <c r="B326" s="96" t="s">
        <v>248</v>
      </c>
      <c r="C326" s="82">
        <v>0</v>
      </c>
      <c r="D326" s="83">
        <v>0</v>
      </c>
      <c r="E326" s="84">
        <v>0</v>
      </c>
      <c r="F326" s="83">
        <v>0</v>
      </c>
      <c r="G326" s="84">
        <v>0</v>
      </c>
      <c r="H326" s="83">
        <v>0</v>
      </c>
      <c r="I326" s="84">
        <v>0</v>
      </c>
      <c r="J326" s="83">
        <v>0</v>
      </c>
      <c r="K326" s="84">
        <v>1</v>
      </c>
      <c r="L326" s="83">
        <v>0.022222222222222223</v>
      </c>
      <c r="M326" s="84">
        <v>0</v>
      </c>
      <c r="N326" s="83">
        <v>0</v>
      </c>
      <c r="O326" s="84">
        <v>1</v>
      </c>
      <c r="P326" s="97">
        <v>0.005617977528089888</v>
      </c>
      <c r="Q326" s="23"/>
    </row>
    <row r="327" spans="1:17" ht="12.75" customHeight="1" thickBot="1">
      <c r="A327" s="26"/>
      <c r="B327" s="98" t="s">
        <v>3</v>
      </c>
      <c r="C327" s="88">
        <v>45</v>
      </c>
      <c r="D327" s="89">
        <v>1</v>
      </c>
      <c r="E327" s="90">
        <v>23</v>
      </c>
      <c r="F327" s="89">
        <v>1</v>
      </c>
      <c r="G327" s="90">
        <v>43</v>
      </c>
      <c r="H327" s="89">
        <v>1</v>
      </c>
      <c r="I327" s="90">
        <v>8</v>
      </c>
      <c r="J327" s="89">
        <v>1</v>
      </c>
      <c r="K327" s="90">
        <v>45</v>
      </c>
      <c r="L327" s="89">
        <v>1</v>
      </c>
      <c r="M327" s="90">
        <v>14</v>
      </c>
      <c r="N327" s="89">
        <v>1</v>
      </c>
      <c r="O327" s="90">
        <v>178</v>
      </c>
      <c r="P327" s="91">
        <v>1</v>
      </c>
      <c r="Q327" s="23"/>
    </row>
    <row r="328" spans="1:12" ht="12.75" customHeight="1" thickTop="1">
      <c r="A328" s="26"/>
      <c r="B328" s="72"/>
      <c r="C328" s="19"/>
      <c r="D328" s="20"/>
      <c r="E328" s="19"/>
      <c r="F328" s="20"/>
      <c r="G328" s="19"/>
      <c r="H328" s="20"/>
      <c r="I328" s="19"/>
      <c r="J328" s="20"/>
      <c r="K328" s="19"/>
      <c r="L328" s="20"/>
    </row>
    <row r="329" spans="1:8" ht="25.5" customHeight="1">
      <c r="A329" s="26"/>
      <c r="B329" s="160" t="s">
        <v>173</v>
      </c>
      <c r="C329" s="160"/>
      <c r="D329" s="160"/>
      <c r="E329" s="160"/>
      <c r="F329" s="160"/>
      <c r="G329" s="160"/>
      <c r="H329" s="160"/>
    </row>
    <row r="330" spans="1:8" ht="12.75" customHeight="1" thickBot="1">
      <c r="A330" s="26"/>
      <c r="B330" s="24"/>
      <c r="C330" s="19"/>
      <c r="D330" s="20"/>
      <c r="E330" s="19"/>
      <c r="F330" s="20"/>
      <c r="G330" s="19"/>
      <c r="H330" s="20"/>
    </row>
    <row r="331" spans="1:17" ht="27" customHeight="1" thickTop="1">
      <c r="A331" s="26"/>
      <c r="B331" s="105" t="s">
        <v>0</v>
      </c>
      <c r="C331" s="154" t="s">
        <v>12</v>
      </c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6"/>
      <c r="Q331" s="23"/>
    </row>
    <row r="332" spans="1:17" ht="25.5" customHeight="1">
      <c r="A332" s="26"/>
      <c r="B332" s="106"/>
      <c r="C332" s="157" t="s">
        <v>89</v>
      </c>
      <c r="D332" s="158"/>
      <c r="E332" s="158" t="s">
        <v>90</v>
      </c>
      <c r="F332" s="158"/>
      <c r="G332" s="158" t="s">
        <v>91</v>
      </c>
      <c r="H332" s="158"/>
      <c r="I332" s="158" t="s">
        <v>92</v>
      </c>
      <c r="J332" s="158"/>
      <c r="K332" s="158" t="s">
        <v>93</v>
      </c>
      <c r="L332" s="158"/>
      <c r="M332" s="158" t="s">
        <v>94</v>
      </c>
      <c r="N332" s="158"/>
      <c r="O332" s="158" t="s">
        <v>3</v>
      </c>
      <c r="P332" s="159"/>
      <c r="Q332" s="23"/>
    </row>
    <row r="333" spans="1:17" ht="12.75" customHeight="1" thickBot="1">
      <c r="A333" s="26"/>
      <c r="B333" s="107"/>
      <c r="C333" s="108" t="s">
        <v>4</v>
      </c>
      <c r="D333" s="109" t="s">
        <v>5</v>
      </c>
      <c r="E333" s="109" t="s">
        <v>4</v>
      </c>
      <c r="F333" s="109" t="s">
        <v>5</v>
      </c>
      <c r="G333" s="109" t="s">
        <v>4</v>
      </c>
      <c r="H333" s="109" t="s">
        <v>5</v>
      </c>
      <c r="I333" s="109" t="s">
        <v>4</v>
      </c>
      <c r="J333" s="109" t="s">
        <v>5</v>
      </c>
      <c r="K333" s="109" t="s">
        <v>4</v>
      </c>
      <c r="L333" s="109" t="s">
        <v>5</v>
      </c>
      <c r="M333" s="109" t="s">
        <v>4</v>
      </c>
      <c r="N333" s="109" t="s">
        <v>5</v>
      </c>
      <c r="O333" s="109" t="s">
        <v>4</v>
      </c>
      <c r="P333" s="110" t="s">
        <v>5</v>
      </c>
      <c r="Q333" s="23"/>
    </row>
    <row r="334" spans="1:17" ht="12.75" customHeight="1" thickTop="1">
      <c r="A334" s="49"/>
      <c r="B334" s="75" t="s">
        <v>14</v>
      </c>
      <c r="C334" s="76">
        <v>2</v>
      </c>
      <c r="D334" s="77">
        <v>0.044444444444444446</v>
      </c>
      <c r="E334" s="78">
        <v>0</v>
      </c>
      <c r="F334" s="77">
        <v>0</v>
      </c>
      <c r="G334" s="78">
        <v>2</v>
      </c>
      <c r="H334" s="77">
        <v>0.046511627906976744</v>
      </c>
      <c r="I334" s="78">
        <v>0</v>
      </c>
      <c r="J334" s="77">
        <v>0</v>
      </c>
      <c r="K334" s="78">
        <v>4</v>
      </c>
      <c r="L334" s="77">
        <v>0.08888888888888889</v>
      </c>
      <c r="M334" s="78">
        <v>1</v>
      </c>
      <c r="N334" s="77">
        <v>0.07142857142857142</v>
      </c>
      <c r="O334" s="78">
        <v>9</v>
      </c>
      <c r="P334" s="79">
        <v>0.05056179775280898</v>
      </c>
      <c r="Q334" s="23"/>
    </row>
    <row r="335" spans="1:17" ht="12.75" customHeight="1" thickBot="1">
      <c r="A335" s="49"/>
      <c r="B335" s="87" t="s">
        <v>28</v>
      </c>
      <c r="C335" s="88">
        <v>43</v>
      </c>
      <c r="D335" s="89">
        <v>0.9555555555555556</v>
      </c>
      <c r="E335" s="90">
        <v>23</v>
      </c>
      <c r="F335" s="89">
        <v>1</v>
      </c>
      <c r="G335" s="90">
        <v>41</v>
      </c>
      <c r="H335" s="89">
        <v>0.9534883720930233</v>
      </c>
      <c r="I335" s="90">
        <v>8</v>
      </c>
      <c r="J335" s="89">
        <v>1</v>
      </c>
      <c r="K335" s="90">
        <v>41</v>
      </c>
      <c r="L335" s="89">
        <v>0.9111111111111111</v>
      </c>
      <c r="M335" s="90">
        <v>13</v>
      </c>
      <c r="N335" s="89">
        <v>0.9285714285714286</v>
      </c>
      <c r="O335" s="90">
        <v>169</v>
      </c>
      <c r="P335" s="91">
        <v>0.949438202247191</v>
      </c>
      <c r="Q335" s="23"/>
    </row>
    <row r="336" spans="1:15" ht="15" customHeight="1" thickTop="1">
      <c r="A336" s="26"/>
      <c r="B336" s="24"/>
      <c r="C336" s="19"/>
      <c r="D336" s="20"/>
      <c r="E336" s="19"/>
      <c r="F336" s="20"/>
      <c r="G336" s="19"/>
      <c r="H336" s="20"/>
      <c r="I336" s="19"/>
      <c r="J336" s="20"/>
      <c r="K336" s="19"/>
      <c r="L336" s="20"/>
      <c r="M336" s="26"/>
      <c r="N336" s="26"/>
      <c r="O336" s="26"/>
    </row>
    <row r="337" spans="1:15" ht="12.75" customHeight="1" thickBot="1">
      <c r="A337" s="26"/>
      <c r="B337" s="72" t="s">
        <v>174</v>
      </c>
      <c r="C337" s="163"/>
      <c r="D337" s="163"/>
      <c r="E337" s="163"/>
      <c r="F337" s="163"/>
      <c r="G337" s="163"/>
      <c r="H337" s="163"/>
      <c r="I337" s="26"/>
      <c r="J337" s="26"/>
      <c r="K337" s="26"/>
      <c r="L337" s="26"/>
      <c r="M337" s="26"/>
      <c r="N337" s="26"/>
      <c r="O337" s="26"/>
    </row>
    <row r="338" spans="1:17" ht="27" customHeight="1" thickTop="1">
      <c r="A338" s="26"/>
      <c r="B338" s="105" t="s">
        <v>0</v>
      </c>
      <c r="C338" s="154" t="s">
        <v>12</v>
      </c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6"/>
      <c r="Q338" s="23"/>
    </row>
    <row r="339" spans="1:17" ht="24" customHeight="1">
      <c r="A339" s="26"/>
      <c r="B339" s="106"/>
      <c r="C339" s="157" t="s">
        <v>89</v>
      </c>
      <c r="D339" s="158"/>
      <c r="E339" s="158" t="s">
        <v>90</v>
      </c>
      <c r="F339" s="158"/>
      <c r="G339" s="158" t="s">
        <v>91</v>
      </c>
      <c r="H339" s="158"/>
      <c r="I339" s="158" t="s">
        <v>92</v>
      </c>
      <c r="J339" s="158"/>
      <c r="K339" s="158" t="s">
        <v>93</v>
      </c>
      <c r="L339" s="158"/>
      <c r="M339" s="158" t="s">
        <v>94</v>
      </c>
      <c r="N339" s="158"/>
      <c r="O339" s="158" t="s">
        <v>3</v>
      </c>
      <c r="P339" s="159"/>
      <c r="Q339" s="23"/>
    </row>
    <row r="340" spans="1:17" ht="12.75" customHeight="1" thickBot="1">
      <c r="A340" s="26"/>
      <c r="B340" s="107"/>
      <c r="C340" s="108" t="s">
        <v>4</v>
      </c>
      <c r="D340" s="109" t="s">
        <v>5</v>
      </c>
      <c r="E340" s="109" t="s">
        <v>4</v>
      </c>
      <c r="F340" s="109" t="s">
        <v>5</v>
      </c>
      <c r="G340" s="109" t="s">
        <v>4</v>
      </c>
      <c r="H340" s="109" t="s">
        <v>5</v>
      </c>
      <c r="I340" s="109" t="s">
        <v>4</v>
      </c>
      <c r="J340" s="109" t="s">
        <v>5</v>
      </c>
      <c r="K340" s="109" t="s">
        <v>4</v>
      </c>
      <c r="L340" s="109" t="s">
        <v>5</v>
      </c>
      <c r="M340" s="109" t="s">
        <v>4</v>
      </c>
      <c r="N340" s="109" t="s">
        <v>5</v>
      </c>
      <c r="O340" s="109" t="s">
        <v>4</v>
      </c>
      <c r="P340" s="110" t="s">
        <v>5</v>
      </c>
      <c r="Q340" s="23"/>
    </row>
    <row r="341" spans="1:17" ht="12.75" customHeight="1" thickTop="1">
      <c r="A341" s="49"/>
      <c r="B341" s="81" t="s">
        <v>249</v>
      </c>
      <c r="C341" s="82">
        <v>1</v>
      </c>
      <c r="D341" s="83">
        <v>0.5</v>
      </c>
      <c r="E341" s="84">
        <v>0</v>
      </c>
      <c r="F341" s="83">
        <v>0</v>
      </c>
      <c r="G341" s="84">
        <v>2</v>
      </c>
      <c r="H341" s="83">
        <v>1</v>
      </c>
      <c r="I341" s="84">
        <v>0</v>
      </c>
      <c r="J341" s="83">
        <v>0</v>
      </c>
      <c r="K341" s="84">
        <v>4</v>
      </c>
      <c r="L341" s="83">
        <v>1</v>
      </c>
      <c r="M341" s="84">
        <v>1</v>
      </c>
      <c r="N341" s="83">
        <v>1</v>
      </c>
      <c r="O341" s="84">
        <v>8</v>
      </c>
      <c r="P341" s="85">
        <f>8/9</f>
        <v>0.8888888888888888</v>
      </c>
      <c r="Q341" s="23"/>
    </row>
    <row r="342" spans="1:17" ht="12.75" customHeight="1" thickBot="1">
      <c r="A342" s="49"/>
      <c r="B342" s="87" t="s">
        <v>250</v>
      </c>
      <c r="C342" s="88">
        <v>1</v>
      </c>
      <c r="D342" s="89">
        <v>0.5</v>
      </c>
      <c r="E342" s="90">
        <v>0</v>
      </c>
      <c r="F342" s="89">
        <v>0</v>
      </c>
      <c r="G342" s="90">
        <v>0</v>
      </c>
      <c r="H342" s="89">
        <v>0</v>
      </c>
      <c r="I342" s="90">
        <v>0</v>
      </c>
      <c r="J342" s="89">
        <v>0</v>
      </c>
      <c r="K342" s="90">
        <v>0</v>
      </c>
      <c r="L342" s="89">
        <v>0</v>
      </c>
      <c r="M342" s="90">
        <v>0</v>
      </c>
      <c r="N342" s="89">
        <v>0</v>
      </c>
      <c r="O342" s="90">
        <v>1</v>
      </c>
      <c r="P342" s="99">
        <f>1/9</f>
        <v>0.1111111111111111</v>
      </c>
      <c r="Q342" s="23"/>
    </row>
    <row r="343" spans="1:8" ht="12.75" customHeight="1" thickTop="1">
      <c r="A343" s="26"/>
      <c r="B343" s="26"/>
      <c r="C343" s="26"/>
      <c r="D343" s="26"/>
      <c r="E343" s="26"/>
      <c r="F343" s="26"/>
      <c r="G343" s="26"/>
      <c r="H343" s="26"/>
    </row>
    <row r="345" spans="2:8" ht="27" customHeight="1">
      <c r="B345" s="151" t="s">
        <v>258</v>
      </c>
      <c r="C345" s="151"/>
      <c r="D345" s="151"/>
      <c r="E345" s="151"/>
      <c r="F345" s="151"/>
      <c r="G345" s="151"/>
      <c r="H345" s="151"/>
    </row>
    <row r="346" ht="12.75" customHeight="1" thickBot="1"/>
    <row r="347" spans="2:17" ht="12.75" customHeight="1" thickTop="1">
      <c r="B347" s="105" t="s">
        <v>0</v>
      </c>
      <c r="C347" s="154" t="s">
        <v>12</v>
      </c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6"/>
      <c r="Q347" s="23"/>
    </row>
    <row r="348" spans="2:17" ht="26.25" customHeight="1">
      <c r="B348" s="106"/>
      <c r="C348" s="157" t="s">
        <v>89</v>
      </c>
      <c r="D348" s="158"/>
      <c r="E348" s="158" t="s">
        <v>90</v>
      </c>
      <c r="F348" s="158"/>
      <c r="G348" s="158" t="s">
        <v>91</v>
      </c>
      <c r="H348" s="158"/>
      <c r="I348" s="158" t="s">
        <v>92</v>
      </c>
      <c r="J348" s="158"/>
      <c r="K348" s="158" t="s">
        <v>93</v>
      </c>
      <c r="L348" s="158"/>
      <c r="M348" s="158" t="s">
        <v>94</v>
      </c>
      <c r="N348" s="158"/>
      <c r="O348" s="158" t="s">
        <v>3</v>
      </c>
      <c r="P348" s="159"/>
      <c r="Q348" s="23"/>
    </row>
    <row r="349" spans="2:17" ht="12.75" customHeight="1" thickBot="1">
      <c r="B349" s="107"/>
      <c r="C349" s="108" t="s">
        <v>4</v>
      </c>
      <c r="D349" s="109" t="s">
        <v>5</v>
      </c>
      <c r="E349" s="109" t="s">
        <v>4</v>
      </c>
      <c r="F349" s="109" t="s">
        <v>5</v>
      </c>
      <c r="G349" s="109" t="s">
        <v>4</v>
      </c>
      <c r="H349" s="109" t="s">
        <v>5</v>
      </c>
      <c r="I349" s="109" t="s">
        <v>4</v>
      </c>
      <c r="J349" s="109" t="s">
        <v>5</v>
      </c>
      <c r="K349" s="109" t="s">
        <v>4</v>
      </c>
      <c r="L349" s="109" t="s">
        <v>5</v>
      </c>
      <c r="M349" s="109" t="s">
        <v>4</v>
      </c>
      <c r="N349" s="109" t="s">
        <v>5</v>
      </c>
      <c r="O349" s="109" t="s">
        <v>4</v>
      </c>
      <c r="P349" s="110" t="s">
        <v>5</v>
      </c>
      <c r="Q349" s="23"/>
    </row>
    <row r="350" spans="2:17" ht="12.75" customHeight="1" thickTop="1">
      <c r="B350" s="74" t="s">
        <v>251</v>
      </c>
      <c r="C350" s="76">
        <v>25</v>
      </c>
      <c r="D350" s="77">
        <f>25/45</f>
        <v>0.5555555555555556</v>
      </c>
      <c r="E350" s="78">
        <v>13</v>
      </c>
      <c r="F350" s="77">
        <f>13/23</f>
        <v>0.5652173913043478</v>
      </c>
      <c r="G350" s="78">
        <v>15</v>
      </c>
      <c r="H350" s="77">
        <f>15/43</f>
        <v>0.3488372093023256</v>
      </c>
      <c r="I350" s="78">
        <v>1</v>
      </c>
      <c r="J350" s="77">
        <f>1/8</f>
        <v>0.125</v>
      </c>
      <c r="K350" s="78">
        <v>23</v>
      </c>
      <c r="L350" s="77">
        <f>23/45</f>
        <v>0.5111111111111111</v>
      </c>
      <c r="M350" s="78">
        <v>6</v>
      </c>
      <c r="N350" s="77">
        <f>6/14</f>
        <v>0.42857142857142855</v>
      </c>
      <c r="O350" s="78">
        <v>83</v>
      </c>
      <c r="P350" s="79">
        <f aca="true" t="shared" si="7" ref="P350:P355">O350/178</f>
        <v>0.46629213483146065</v>
      </c>
      <c r="Q350" s="23"/>
    </row>
    <row r="351" spans="2:17" ht="12.75" customHeight="1">
      <c r="B351" s="80" t="s">
        <v>252</v>
      </c>
      <c r="C351" s="82">
        <v>22</v>
      </c>
      <c r="D351" s="83">
        <f>22/45</f>
        <v>0.4888888888888889</v>
      </c>
      <c r="E351" s="84">
        <v>15</v>
      </c>
      <c r="F351" s="83">
        <f>15/23</f>
        <v>0.6521739130434783</v>
      </c>
      <c r="G351" s="84">
        <v>25</v>
      </c>
      <c r="H351" s="83">
        <f>25/43</f>
        <v>0.5813953488372093</v>
      </c>
      <c r="I351" s="84">
        <v>7</v>
      </c>
      <c r="J351" s="83">
        <f>7/8</f>
        <v>0.875</v>
      </c>
      <c r="K351" s="84">
        <v>18</v>
      </c>
      <c r="L351" s="83">
        <f>K351/45</f>
        <v>0.4</v>
      </c>
      <c r="M351" s="84">
        <v>9</v>
      </c>
      <c r="N351" s="83">
        <f>M351/14</f>
        <v>0.6428571428571429</v>
      </c>
      <c r="O351" s="84">
        <v>96</v>
      </c>
      <c r="P351" s="85">
        <f t="shared" si="7"/>
        <v>0.5393258426966292</v>
      </c>
      <c r="Q351" s="23"/>
    </row>
    <row r="352" spans="2:17" ht="12.75" customHeight="1">
      <c r="B352" s="80" t="s">
        <v>253</v>
      </c>
      <c r="C352" s="82">
        <v>3</v>
      </c>
      <c r="D352" s="83">
        <f>C352/45</f>
        <v>0.06666666666666667</v>
      </c>
      <c r="E352" s="84">
        <v>0</v>
      </c>
      <c r="F352" s="83">
        <f>15/23</f>
        <v>0.6521739130434783</v>
      </c>
      <c r="G352" s="84">
        <v>1</v>
      </c>
      <c r="H352" s="83">
        <f>1/43</f>
        <v>0.023255813953488372</v>
      </c>
      <c r="I352" s="84">
        <v>0</v>
      </c>
      <c r="J352" s="83">
        <v>0</v>
      </c>
      <c r="K352" s="84">
        <v>1</v>
      </c>
      <c r="L352" s="83">
        <f>K352/45</f>
        <v>0.022222222222222223</v>
      </c>
      <c r="M352" s="84">
        <v>1</v>
      </c>
      <c r="N352" s="83">
        <f>M352/14</f>
        <v>0.07142857142857142</v>
      </c>
      <c r="O352" s="84">
        <v>6</v>
      </c>
      <c r="P352" s="85">
        <f t="shared" si="7"/>
        <v>0.033707865168539325</v>
      </c>
      <c r="Q352" s="23"/>
    </row>
    <row r="353" spans="2:17" ht="12.75" customHeight="1">
      <c r="B353" s="80" t="s">
        <v>254</v>
      </c>
      <c r="C353" s="82">
        <v>2</v>
      </c>
      <c r="D353" s="83">
        <f>C353/45</f>
        <v>0.044444444444444446</v>
      </c>
      <c r="E353" s="84">
        <v>2</v>
      </c>
      <c r="F353" s="83">
        <f>15/23</f>
        <v>0.6521739130434783</v>
      </c>
      <c r="G353" s="84">
        <v>6</v>
      </c>
      <c r="H353" s="83">
        <f>6/43</f>
        <v>0.13953488372093023</v>
      </c>
      <c r="I353" s="84">
        <v>0</v>
      </c>
      <c r="J353" s="83">
        <v>0</v>
      </c>
      <c r="K353" s="84">
        <v>1</v>
      </c>
      <c r="L353" s="83">
        <f>K353/45</f>
        <v>0.022222222222222223</v>
      </c>
      <c r="M353" s="84">
        <v>0</v>
      </c>
      <c r="N353" s="83">
        <f>M353/14</f>
        <v>0</v>
      </c>
      <c r="O353" s="84">
        <v>11</v>
      </c>
      <c r="P353" s="85">
        <f t="shared" si="7"/>
        <v>0.06179775280898876</v>
      </c>
      <c r="Q353" s="23"/>
    </row>
    <row r="354" spans="2:17" ht="12.75" customHeight="1">
      <c r="B354" s="80" t="s">
        <v>255</v>
      </c>
      <c r="C354" s="82">
        <v>11</v>
      </c>
      <c r="D354" s="83">
        <f>C354/45</f>
        <v>0.24444444444444444</v>
      </c>
      <c r="E354" s="84">
        <v>3</v>
      </c>
      <c r="F354" s="83">
        <f>15/23</f>
        <v>0.6521739130434783</v>
      </c>
      <c r="G354" s="84">
        <v>7</v>
      </c>
      <c r="H354" s="83">
        <f>7/43</f>
        <v>0.16279069767441862</v>
      </c>
      <c r="I354" s="84">
        <v>1</v>
      </c>
      <c r="J354" s="83">
        <f>1/8</f>
        <v>0.125</v>
      </c>
      <c r="K354" s="84">
        <v>19</v>
      </c>
      <c r="L354" s="83">
        <f>K354/45</f>
        <v>0.4222222222222222</v>
      </c>
      <c r="M354" s="84">
        <v>2</v>
      </c>
      <c r="N354" s="83">
        <f>M354/14</f>
        <v>0.14285714285714285</v>
      </c>
      <c r="O354" s="84">
        <v>43</v>
      </c>
      <c r="P354" s="85">
        <f t="shared" si="7"/>
        <v>0.24157303370786518</v>
      </c>
      <c r="Q354" s="23"/>
    </row>
    <row r="355" spans="2:17" ht="12.75" customHeight="1" thickBot="1">
      <c r="B355" s="86" t="s">
        <v>256</v>
      </c>
      <c r="C355" s="88">
        <v>1</v>
      </c>
      <c r="D355" s="100">
        <f>C355/45</f>
        <v>0.022222222222222223</v>
      </c>
      <c r="E355" s="90">
        <v>0</v>
      </c>
      <c r="F355" s="100">
        <f>15/23</f>
        <v>0.6521739130434783</v>
      </c>
      <c r="G355" s="90">
        <v>0</v>
      </c>
      <c r="H355" s="89">
        <v>0</v>
      </c>
      <c r="I355" s="90">
        <v>0</v>
      </c>
      <c r="J355" s="89">
        <v>0</v>
      </c>
      <c r="K355" s="90">
        <v>0</v>
      </c>
      <c r="L355" s="100">
        <f>K355/45</f>
        <v>0</v>
      </c>
      <c r="M355" s="90">
        <v>0</v>
      </c>
      <c r="N355" s="100">
        <f>M355/14</f>
        <v>0</v>
      </c>
      <c r="O355" s="90">
        <v>1</v>
      </c>
      <c r="P355" s="104">
        <f t="shared" si="7"/>
        <v>0.0056179775280898875</v>
      </c>
      <c r="Q355" s="23"/>
    </row>
    <row r="356" ht="12.75" customHeight="1" thickTop="1"/>
  </sheetData>
  <sheetProtection/>
  <mergeCells count="171">
    <mergeCell ref="I141:J141"/>
    <mergeCell ref="K141:L141"/>
    <mergeCell ref="B13:H13"/>
    <mergeCell ref="B14:H14"/>
    <mergeCell ref="B15:B17"/>
    <mergeCell ref="C15:H15"/>
    <mergeCell ref="C16:D16"/>
    <mergeCell ref="B151:G151"/>
    <mergeCell ref="B163:H163"/>
    <mergeCell ref="C165:P165"/>
    <mergeCell ref="C166:D166"/>
    <mergeCell ref="E166:F166"/>
    <mergeCell ref="B193:C193"/>
    <mergeCell ref="K166:L166"/>
    <mergeCell ref="K256:L256"/>
    <mergeCell ref="B329:H329"/>
    <mergeCell ref="B199:C199"/>
    <mergeCell ref="B198:C198"/>
    <mergeCell ref="B200:C200"/>
    <mergeCell ref="B201:C201"/>
    <mergeCell ref="B233:H233"/>
    <mergeCell ref="I166:J166"/>
    <mergeCell ref="H10:I10"/>
    <mergeCell ref="C337:H337"/>
    <mergeCell ref="B220:H220"/>
    <mergeCell ref="B188:H188"/>
    <mergeCell ref="I256:J256"/>
    <mergeCell ref="B194:C194"/>
    <mergeCell ref="B195:C195"/>
    <mergeCell ref="B196:C196"/>
    <mergeCell ref="B197:C197"/>
    <mergeCell ref="B4:K4"/>
    <mergeCell ref="B8:O8"/>
    <mergeCell ref="B9:O9"/>
    <mergeCell ref="B10:C10"/>
    <mergeCell ref="D10:E10"/>
    <mergeCell ref="F10:G10"/>
    <mergeCell ref="J10:K10"/>
    <mergeCell ref="L10:M10"/>
    <mergeCell ref="N10:O10"/>
    <mergeCell ref="B2:K2"/>
    <mergeCell ref="B138:G138"/>
    <mergeCell ref="I28:J28"/>
    <mergeCell ref="B38:P38"/>
    <mergeCell ref="B39:B40"/>
    <mergeCell ref="C39:D39"/>
    <mergeCell ref="O39:P39"/>
    <mergeCell ref="W30:X30"/>
    <mergeCell ref="U30:V30"/>
    <mergeCell ref="S30:T30"/>
    <mergeCell ref="Q30:R30"/>
    <mergeCell ref="Q29:X29"/>
    <mergeCell ref="P29:P31"/>
    <mergeCell ref="O348:P348"/>
    <mergeCell ref="E16:F16"/>
    <mergeCell ref="G16:H16"/>
    <mergeCell ref="B26:J26"/>
    <mergeCell ref="B27:B29"/>
    <mergeCell ref="C27:J27"/>
    <mergeCell ref="C28:D28"/>
    <mergeCell ref="E28:F28"/>
    <mergeCell ref="G28:H28"/>
    <mergeCell ref="P28:X28"/>
    <mergeCell ref="C348:D348"/>
    <mergeCell ref="E348:F348"/>
    <mergeCell ref="G348:H348"/>
    <mergeCell ref="I348:J348"/>
    <mergeCell ref="K348:L348"/>
    <mergeCell ref="M348:N348"/>
    <mergeCell ref="I266:J266"/>
    <mergeCell ref="I339:J339"/>
    <mergeCell ref="K339:L339"/>
    <mergeCell ref="M339:N339"/>
    <mergeCell ref="O339:P339"/>
    <mergeCell ref="C347:P347"/>
    <mergeCell ref="B254:H254"/>
    <mergeCell ref="O266:P266"/>
    <mergeCell ref="C331:P331"/>
    <mergeCell ref="C332:D332"/>
    <mergeCell ref="E332:F332"/>
    <mergeCell ref="G332:H332"/>
    <mergeCell ref="I332:J332"/>
    <mergeCell ref="K332:L332"/>
    <mergeCell ref="M332:N332"/>
    <mergeCell ref="O332:P332"/>
    <mergeCell ref="C258:P258"/>
    <mergeCell ref="C259:D259"/>
    <mergeCell ref="E259:F259"/>
    <mergeCell ref="G259:H259"/>
    <mergeCell ref="I259:J259"/>
    <mergeCell ref="K259:L259"/>
    <mergeCell ref="M259:N259"/>
    <mergeCell ref="O259:P259"/>
    <mergeCell ref="M266:N266"/>
    <mergeCell ref="C235:P235"/>
    <mergeCell ref="C236:D236"/>
    <mergeCell ref="E236:F236"/>
    <mergeCell ref="G236:H236"/>
    <mergeCell ref="I236:J236"/>
    <mergeCell ref="K236:L236"/>
    <mergeCell ref="M236:N236"/>
    <mergeCell ref="B256:H256"/>
    <mergeCell ref="O236:P236"/>
    <mergeCell ref="B345:H345"/>
    <mergeCell ref="B266:B267"/>
    <mergeCell ref="C266:D266"/>
    <mergeCell ref="E266:F266"/>
    <mergeCell ref="G266:H266"/>
    <mergeCell ref="C338:P338"/>
    <mergeCell ref="C339:D339"/>
    <mergeCell ref="E339:F339"/>
    <mergeCell ref="G339:H339"/>
    <mergeCell ref="K266:L266"/>
    <mergeCell ref="C222:P222"/>
    <mergeCell ref="C223:D223"/>
    <mergeCell ref="E223:F223"/>
    <mergeCell ref="G223:H223"/>
    <mergeCell ref="I223:J223"/>
    <mergeCell ref="K223:L223"/>
    <mergeCell ref="M223:N223"/>
    <mergeCell ref="O223:P223"/>
    <mergeCell ref="P191:Q191"/>
    <mergeCell ref="C206:P206"/>
    <mergeCell ref="C207:D207"/>
    <mergeCell ref="E207:F207"/>
    <mergeCell ref="G207:H207"/>
    <mergeCell ref="I207:J207"/>
    <mergeCell ref="K207:L207"/>
    <mergeCell ref="M207:N207"/>
    <mergeCell ref="O207:P207"/>
    <mergeCell ref="B204:H204"/>
    <mergeCell ref="E141:F141"/>
    <mergeCell ref="G141:H141"/>
    <mergeCell ref="O183:P183"/>
    <mergeCell ref="M183:N183"/>
    <mergeCell ref="K183:L183"/>
    <mergeCell ref="I183:J183"/>
    <mergeCell ref="G183:H183"/>
    <mergeCell ref="E183:F183"/>
    <mergeCell ref="B180:J180"/>
    <mergeCell ref="G166:H166"/>
    <mergeCell ref="K154:L154"/>
    <mergeCell ref="M154:N154"/>
    <mergeCell ref="C183:D183"/>
    <mergeCell ref="E39:F39"/>
    <mergeCell ref="G39:H39"/>
    <mergeCell ref="I39:J39"/>
    <mergeCell ref="K39:L39"/>
    <mergeCell ref="M39:N39"/>
    <mergeCell ref="C140:P140"/>
    <mergeCell ref="C141:D141"/>
    <mergeCell ref="L191:M191"/>
    <mergeCell ref="N191:O191"/>
    <mergeCell ref="M141:N141"/>
    <mergeCell ref="O141:P141"/>
    <mergeCell ref="B153:B155"/>
    <mergeCell ref="C153:P153"/>
    <mergeCell ref="C154:D154"/>
    <mergeCell ref="E154:F154"/>
    <mergeCell ref="G154:H154"/>
    <mergeCell ref="I154:J154"/>
    <mergeCell ref="C182:P182"/>
    <mergeCell ref="B264:F264"/>
    <mergeCell ref="O154:P154"/>
    <mergeCell ref="M166:N166"/>
    <mergeCell ref="O166:P166"/>
    <mergeCell ref="D190:Q190"/>
    <mergeCell ref="D191:E191"/>
    <mergeCell ref="F191:G191"/>
    <mergeCell ref="H191:I191"/>
    <mergeCell ref="J191:K191"/>
  </mergeCells>
  <printOptions/>
  <pageMargins left="0.75" right="0.75" top="1" bottom="1" header="0.5" footer="0.5"/>
  <pageSetup horizontalDpi="300" verticalDpi="300" orientation="portrait" r:id="rId2"/>
  <ignoredErrors>
    <ignoredError sqref="D146 H146 D171 P173 Q195 Q19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95"/>
  <sheetViews>
    <sheetView showGridLines="0" zoomScalePageLayoutView="0" workbookViewId="0" topLeftCell="A211">
      <selection activeCell="N522" sqref="N522:O522"/>
    </sheetView>
  </sheetViews>
  <sheetFormatPr defaultColWidth="9.140625" defaultRowHeight="12.75"/>
  <sheetData>
    <row r="2" spans="2:15" ht="54.75" customHeight="1">
      <c r="B2" s="165" t="s">
        <v>51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11" ht="10.5" customHeight="1"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2:15" ht="19.5" customHeight="1">
      <c r="B4" s="167" t="s">
        <v>88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6" spans="2:15" ht="21">
      <c r="B6" s="177" t="s">
        <v>50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8" spans="2:11" ht="15.75">
      <c r="B8" s="175" t="s">
        <v>11</v>
      </c>
      <c r="C8" s="175"/>
      <c r="D8" s="175"/>
      <c r="E8" s="175"/>
      <c r="F8" s="175"/>
      <c r="G8" s="175"/>
      <c r="H8" s="175"/>
      <c r="I8" s="175"/>
      <c r="J8" s="175"/>
      <c r="K8" s="175"/>
    </row>
    <row r="39" spans="2:11" ht="15.75">
      <c r="B39" s="175" t="s">
        <v>1</v>
      </c>
      <c r="C39" s="175"/>
      <c r="D39" s="175"/>
      <c r="E39" s="175"/>
      <c r="F39" s="175"/>
      <c r="G39" s="175"/>
      <c r="H39" s="175"/>
      <c r="I39" s="175"/>
      <c r="J39" s="175"/>
      <c r="K39" s="175"/>
    </row>
    <row r="70" spans="2:11" ht="15.75">
      <c r="B70" s="175" t="s">
        <v>6</v>
      </c>
      <c r="C70" s="175"/>
      <c r="D70" s="175"/>
      <c r="E70" s="175"/>
      <c r="F70" s="175"/>
      <c r="G70" s="175"/>
      <c r="H70" s="175"/>
      <c r="I70" s="175"/>
      <c r="J70" s="175"/>
      <c r="K70" s="175"/>
    </row>
    <row r="98" ht="15" customHeight="1"/>
    <row r="99" ht="23.25" customHeight="1"/>
    <row r="100" ht="17.25" customHeight="1"/>
    <row r="101" spans="2:13" ht="38.25" customHeight="1">
      <c r="B101" s="178" t="s">
        <v>59</v>
      </c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</row>
    <row r="138" spans="2:15" ht="35.25" customHeight="1">
      <c r="B138" s="176" t="s">
        <v>58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</row>
    <row r="173" ht="32.25" customHeight="1"/>
    <row r="174" spans="2:17" ht="31.5" customHeight="1">
      <c r="B174" s="176" t="s">
        <v>64</v>
      </c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211" spans="2:10" ht="26.25" customHeight="1">
      <c r="B211" s="176" t="s">
        <v>60</v>
      </c>
      <c r="C211" s="176"/>
      <c r="D211" s="176"/>
      <c r="E211" s="176"/>
      <c r="F211" s="176"/>
      <c r="G211" s="176"/>
      <c r="H211" s="176"/>
      <c r="I211" s="176"/>
      <c r="J211" s="176"/>
    </row>
    <row r="277" spans="2:8" ht="28.5" customHeight="1">
      <c r="B277" s="176" t="s">
        <v>61</v>
      </c>
      <c r="C277" s="176"/>
      <c r="D277" s="176"/>
      <c r="E277" s="176"/>
      <c r="F277" s="176"/>
      <c r="G277" s="176"/>
      <c r="H277" s="176"/>
    </row>
    <row r="314" ht="15.75" customHeight="1"/>
    <row r="315" spans="2:16" ht="46.5" customHeight="1">
      <c r="B315" s="176" t="s">
        <v>63</v>
      </c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</row>
    <row r="352" spans="2:18" ht="33" customHeight="1">
      <c r="B352" s="176" t="s">
        <v>259</v>
      </c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</row>
    <row r="353" ht="12.75" customHeight="1"/>
    <row r="354" spans="2:17" ht="12.75" customHeight="1">
      <c r="B354" s="176"/>
      <c r="C354" s="176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</row>
    <row r="377" ht="39.75" customHeight="1"/>
    <row r="378" spans="2:16" ht="15" customHeight="1">
      <c r="B378" s="176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</row>
    <row r="386" ht="2.25" customHeight="1"/>
    <row r="387" ht="13.5" customHeight="1"/>
    <row r="388" spans="2:19" ht="26.25" customHeight="1">
      <c r="B388" s="176" t="s">
        <v>260</v>
      </c>
      <c r="C388" s="176"/>
      <c r="D388" s="176"/>
      <c r="E388" s="176"/>
      <c r="F388" s="176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</row>
    <row r="396" ht="38.25" customHeight="1"/>
    <row r="423" spans="2:17" ht="30.75" customHeight="1">
      <c r="B423" s="176" t="s">
        <v>261</v>
      </c>
      <c r="C423" s="176"/>
      <c r="D423" s="176"/>
      <c r="E423" s="176"/>
      <c r="F423" s="176"/>
      <c r="G423" s="176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</row>
    <row r="427" spans="2:18" ht="32.25" customHeight="1">
      <c r="B427" s="176"/>
      <c r="C427" s="176"/>
      <c r="D427" s="176"/>
      <c r="E427" s="176"/>
      <c r="F427" s="176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</row>
    <row r="428" spans="2:18" ht="15">
      <c r="B428" s="176"/>
      <c r="C428" s="176"/>
      <c r="D428" s="176"/>
      <c r="E428" s="176"/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</row>
    <row r="429" spans="2:18" ht="15">
      <c r="B429" s="176"/>
      <c r="C429" s="176"/>
      <c r="D429" s="176"/>
      <c r="E429" s="176"/>
      <c r="F429" s="176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</row>
    <row r="487" spans="2:16" ht="33" customHeight="1">
      <c r="B487" s="176" t="s">
        <v>262</v>
      </c>
      <c r="C487" s="176"/>
      <c r="D487" s="176"/>
      <c r="E487" s="176"/>
      <c r="F487" s="176"/>
      <c r="G487" s="176"/>
      <c r="H487" s="176"/>
      <c r="I487" s="176"/>
      <c r="J487" s="176"/>
      <c r="K487" s="176"/>
      <c r="L487" s="176"/>
      <c r="M487" s="176"/>
      <c r="N487" s="176"/>
      <c r="O487" s="176"/>
      <c r="P487" s="176"/>
    </row>
    <row r="494" spans="2:17" ht="33" customHeight="1">
      <c r="B494" s="176"/>
      <c r="C494" s="176"/>
      <c r="D494" s="176"/>
      <c r="E494" s="176"/>
      <c r="F494" s="176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22"/>
    </row>
    <row r="495" spans="2:17" ht="15">
      <c r="B495" s="176"/>
      <c r="C495" s="176"/>
      <c r="D495" s="176"/>
      <c r="E495" s="176"/>
      <c r="F495" s="176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22"/>
    </row>
  </sheetData>
  <sheetProtection/>
  <mergeCells count="28">
    <mergeCell ref="B494:P494"/>
    <mergeCell ref="B495:P495"/>
    <mergeCell ref="B174:O174"/>
    <mergeCell ref="P174:Q174"/>
    <mergeCell ref="B427:P427"/>
    <mergeCell ref="Q427:R427"/>
    <mergeCell ref="B428:P428"/>
    <mergeCell ref="Q429:R429"/>
    <mergeCell ref="B378:P378"/>
    <mergeCell ref="B487:P487"/>
    <mergeCell ref="B8:K8"/>
    <mergeCell ref="B6:O6"/>
    <mergeCell ref="B4:O4"/>
    <mergeCell ref="B101:M101"/>
    <mergeCell ref="B138:O138"/>
    <mergeCell ref="B211:J211"/>
    <mergeCell ref="B277:H277"/>
    <mergeCell ref="B315:P315"/>
    <mergeCell ref="B354:Q354"/>
    <mergeCell ref="B2:O2"/>
    <mergeCell ref="B39:K39"/>
    <mergeCell ref="B70:K70"/>
    <mergeCell ref="Q428:R428"/>
    <mergeCell ref="B429:P429"/>
    <mergeCell ref="B388:S388"/>
    <mergeCell ref="Q352:R352"/>
    <mergeCell ref="B352:P352"/>
    <mergeCell ref="B423:Q4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473"/>
  <sheetViews>
    <sheetView showGridLines="0" tabSelected="1" zoomScale="85" zoomScaleNormal="85" zoomScalePageLayoutView="0" workbookViewId="0" topLeftCell="A1">
      <pane ySplit="1" topLeftCell="A221" activePane="bottomLeft" state="frozen"/>
      <selection pane="topLeft" activeCell="A1" sqref="A1"/>
      <selection pane="bottomLeft" activeCell="AF230" sqref="AF230"/>
    </sheetView>
  </sheetViews>
  <sheetFormatPr defaultColWidth="9.140625" defaultRowHeight="12.75"/>
  <sheetData>
    <row r="1" spans="2:30" ht="25.5" customHeight="1">
      <c r="B1" s="182" t="s">
        <v>66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17"/>
      <c r="R1" s="182" t="s">
        <v>65</v>
      </c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2:28" ht="10.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44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2:30" ht="51" customHeight="1">
      <c r="B3" s="165" t="s">
        <v>51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2:11" ht="10.5" customHeight="1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2:30" ht="19.5" customHeight="1">
      <c r="B5" s="167" t="s">
        <v>88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</row>
    <row r="6" spans="2:11" ht="10.5" customHeigh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0.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5" ht="21">
      <c r="B8" s="177" t="s">
        <v>50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2:25" ht="21.75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R9" s="103"/>
      <c r="S9" s="103"/>
      <c r="T9" s="103"/>
      <c r="U9" s="103"/>
      <c r="V9" s="103"/>
      <c r="W9" s="103"/>
      <c r="X9" s="103"/>
      <c r="Y9" s="103"/>
    </row>
    <row r="10" spans="2:26" ht="40.5" customHeight="1" thickTop="1">
      <c r="B10" s="183" t="s">
        <v>89</v>
      </c>
      <c r="C10" s="184"/>
      <c r="D10" s="184" t="s">
        <v>264</v>
      </c>
      <c r="E10" s="184"/>
      <c r="F10" s="184" t="s">
        <v>91</v>
      </c>
      <c r="G10" s="184"/>
      <c r="H10" s="184" t="s">
        <v>92</v>
      </c>
      <c r="I10" s="184"/>
      <c r="J10" s="184" t="s">
        <v>93</v>
      </c>
      <c r="K10" s="184"/>
      <c r="L10" s="184" t="s">
        <v>94</v>
      </c>
      <c r="M10" s="184"/>
      <c r="N10" s="184" t="s">
        <v>3</v>
      </c>
      <c r="O10" s="185"/>
      <c r="R10" s="186" t="s">
        <v>265</v>
      </c>
      <c r="S10" s="180"/>
      <c r="T10" s="179" t="s">
        <v>91</v>
      </c>
      <c r="U10" s="180"/>
      <c r="V10" s="179" t="s">
        <v>92</v>
      </c>
      <c r="W10" s="180"/>
      <c r="X10" s="179" t="s">
        <v>3</v>
      </c>
      <c r="Y10" s="181"/>
      <c r="Z10" s="118"/>
    </row>
    <row r="11" spans="2:26" ht="13.5" thickBot="1">
      <c r="B11" s="31" t="s">
        <v>263</v>
      </c>
      <c r="C11" s="32" t="s">
        <v>5</v>
      </c>
      <c r="D11" s="32" t="s">
        <v>263</v>
      </c>
      <c r="E11" s="32" t="s">
        <v>5</v>
      </c>
      <c r="F11" s="32" t="s">
        <v>263</v>
      </c>
      <c r="G11" s="32" t="s">
        <v>5</v>
      </c>
      <c r="H11" s="32" t="s">
        <v>263</v>
      </c>
      <c r="I11" s="32" t="s">
        <v>5</v>
      </c>
      <c r="J11" s="32" t="s">
        <v>263</v>
      </c>
      <c r="K11" s="32" t="s">
        <v>5</v>
      </c>
      <c r="L11" s="32" t="s">
        <v>263</v>
      </c>
      <c r="M11" s="32" t="s">
        <v>5</v>
      </c>
      <c r="N11" s="32" t="s">
        <v>263</v>
      </c>
      <c r="O11" s="33" t="s">
        <v>5</v>
      </c>
      <c r="Q11" s="48"/>
      <c r="R11" s="73" t="s">
        <v>263</v>
      </c>
      <c r="S11" s="119" t="s">
        <v>5</v>
      </c>
      <c r="T11" s="32" t="s">
        <v>263</v>
      </c>
      <c r="U11" s="119" t="s">
        <v>5</v>
      </c>
      <c r="V11" s="32" t="s">
        <v>263</v>
      </c>
      <c r="W11" s="119" t="s">
        <v>5</v>
      </c>
      <c r="X11" s="32" t="s">
        <v>263</v>
      </c>
      <c r="Y11" s="120" t="s">
        <v>5</v>
      </c>
      <c r="Z11" s="118"/>
    </row>
    <row r="12" spans="2:26" s="127" customFormat="1" ht="14.25" customHeight="1" thickBot="1" thickTop="1">
      <c r="B12" s="122">
        <v>45</v>
      </c>
      <c r="C12" s="123">
        <v>0.25280898876404495</v>
      </c>
      <c r="D12" s="124">
        <v>23</v>
      </c>
      <c r="E12" s="123">
        <v>0.12921348314606743</v>
      </c>
      <c r="F12" s="124">
        <v>43</v>
      </c>
      <c r="G12" s="123">
        <v>0.24157303370786518</v>
      </c>
      <c r="H12" s="124">
        <v>8</v>
      </c>
      <c r="I12" s="123">
        <v>0.04494382022471911</v>
      </c>
      <c r="J12" s="124">
        <v>45</v>
      </c>
      <c r="K12" s="123">
        <v>0.25280898876404495</v>
      </c>
      <c r="L12" s="124">
        <v>14</v>
      </c>
      <c r="M12" s="123">
        <v>0.07865168539325842</v>
      </c>
      <c r="N12" s="125">
        <v>178</v>
      </c>
      <c r="O12" s="126">
        <v>1</v>
      </c>
      <c r="R12" s="128">
        <v>10</v>
      </c>
      <c r="S12" s="129">
        <v>0.5263157894736842</v>
      </c>
      <c r="T12" s="130">
        <v>8</v>
      </c>
      <c r="U12" s="129">
        <v>0.42105263157894735</v>
      </c>
      <c r="V12" s="130">
        <v>1</v>
      </c>
      <c r="W12" s="129">
        <v>0.05263157894736842</v>
      </c>
      <c r="X12" s="130">
        <v>19</v>
      </c>
      <c r="Y12" s="131">
        <v>1</v>
      </c>
      <c r="Z12" s="132"/>
    </row>
    <row r="13" spans="2:26" ht="21.75" thickTop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Z13" s="118"/>
    </row>
    <row r="15" spans="2:11" ht="15.75">
      <c r="B15" s="175" t="s">
        <v>11</v>
      </c>
      <c r="C15" s="175"/>
      <c r="D15" s="175"/>
      <c r="E15" s="175"/>
      <c r="F15" s="175"/>
      <c r="G15" s="175"/>
      <c r="H15" s="175"/>
      <c r="I15" s="175"/>
      <c r="J15" s="175"/>
      <c r="K15" s="175"/>
    </row>
    <row r="46" spans="2:11" ht="15.75">
      <c r="B46" s="175" t="s">
        <v>1</v>
      </c>
      <c r="C46" s="175"/>
      <c r="D46" s="175"/>
      <c r="E46" s="175"/>
      <c r="F46" s="175"/>
      <c r="G46" s="175"/>
      <c r="H46" s="175"/>
      <c r="I46" s="175"/>
      <c r="J46" s="175"/>
      <c r="K46" s="175"/>
    </row>
    <row r="77" spans="2:11" ht="15.75">
      <c r="B77" s="175" t="s">
        <v>6</v>
      </c>
      <c r="C77" s="175"/>
      <c r="D77" s="175"/>
      <c r="E77" s="175"/>
      <c r="F77" s="175"/>
      <c r="G77" s="175"/>
      <c r="H77" s="175"/>
      <c r="I77" s="175"/>
      <c r="J77" s="175"/>
      <c r="K77" s="175"/>
    </row>
    <row r="105" ht="15" customHeight="1"/>
    <row r="106" ht="23.25" customHeight="1"/>
    <row r="107" ht="17.25" customHeight="1"/>
    <row r="108" spans="2:13" ht="38.25" customHeight="1">
      <c r="B108" s="178" t="s">
        <v>59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</row>
    <row r="145" spans="2:15" ht="35.25" customHeight="1">
      <c r="B145" s="176" t="s">
        <v>58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</row>
    <row r="180" ht="32.25" customHeight="1"/>
    <row r="181" spans="2:17" ht="31.5" customHeight="1">
      <c r="B181" s="176" t="s">
        <v>64</v>
      </c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218" spans="2:10" ht="26.25" customHeight="1">
      <c r="B218" s="176" t="s">
        <v>60</v>
      </c>
      <c r="C218" s="176"/>
      <c r="D218" s="176"/>
      <c r="E218" s="176"/>
      <c r="F218" s="176"/>
      <c r="G218" s="176"/>
      <c r="H218" s="176"/>
      <c r="I218" s="176"/>
      <c r="J218" s="176"/>
    </row>
    <row r="284" spans="2:8" ht="28.5" customHeight="1">
      <c r="B284" s="176" t="s">
        <v>61</v>
      </c>
      <c r="C284" s="176"/>
      <c r="D284" s="176"/>
      <c r="E284" s="176"/>
      <c r="F284" s="176"/>
      <c r="G284" s="176"/>
      <c r="H284" s="176"/>
    </row>
    <row r="321" ht="15.75" customHeight="1"/>
    <row r="322" spans="2:16" ht="46.5" customHeight="1">
      <c r="B322" s="176" t="s">
        <v>63</v>
      </c>
      <c r="C322" s="176"/>
      <c r="D322" s="176"/>
      <c r="E322" s="176"/>
      <c r="F322" s="176"/>
      <c r="G322" s="176"/>
      <c r="H322" s="176"/>
      <c r="I322" s="176"/>
      <c r="J322" s="176"/>
      <c r="K322" s="176"/>
      <c r="L322" s="176"/>
      <c r="M322" s="176"/>
      <c r="N322" s="176"/>
      <c r="O322" s="176"/>
      <c r="P322" s="176"/>
    </row>
    <row r="359" spans="2:18" ht="33" customHeight="1">
      <c r="B359" s="176" t="s">
        <v>259</v>
      </c>
      <c r="C359" s="176"/>
      <c r="D359" s="176"/>
      <c r="E359" s="176"/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</row>
    <row r="360" ht="12.75" customHeight="1"/>
    <row r="361" spans="2:17" ht="12.75" customHeight="1"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</row>
    <row r="384" ht="39.75" customHeight="1"/>
    <row r="385" spans="2:16" ht="15" customHeight="1">
      <c r="B385" s="176"/>
      <c r="C385" s="176"/>
      <c r="D385" s="176"/>
      <c r="E385" s="176"/>
      <c r="F385" s="176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</row>
    <row r="393" ht="2.25" customHeight="1"/>
    <row r="394" ht="13.5" customHeight="1"/>
    <row r="395" spans="2:19" ht="26.25" customHeight="1">
      <c r="B395" s="176" t="s">
        <v>260</v>
      </c>
      <c r="C395" s="176"/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</row>
    <row r="403" ht="38.25" customHeight="1"/>
    <row r="430" spans="2:17" ht="30.75" customHeight="1">
      <c r="B430" s="176" t="s">
        <v>261</v>
      </c>
      <c r="C430" s="176"/>
      <c r="D430" s="176"/>
      <c r="E430" s="176"/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</row>
    <row r="434" spans="2:18" ht="32.25" customHeight="1">
      <c r="B434" s="176"/>
      <c r="C434" s="176"/>
      <c r="D434" s="176"/>
      <c r="E434" s="176"/>
      <c r="F434" s="176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</row>
    <row r="435" spans="2:18" ht="15">
      <c r="B435" s="176"/>
      <c r="C435" s="176"/>
      <c r="D435" s="176"/>
      <c r="E435" s="176"/>
      <c r="F435" s="176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</row>
    <row r="436" spans="2:18" ht="15">
      <c r="B436" s="176"/>
      <c r="C436" s="176"/>
      <c r="D436" s="176"/>
      <c r="E436" s="176"/>
      <c r="F436" s="176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</row>
    <row r="465" spans="2:16" ht="33" customHeight="1">
      <c r="B465" s="176" t="s">
        <v>262</v>
      </c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</row>
    <row r="472" spans="2:17" ht="33" customHeight="1">
      <c r="B472" s="176"/>
      <c r="C472" s="176"/>
      <c r="D472" s="176"/>
      <c r="E472" s="176"/>
      <c r="F472" s="176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36"/>
    </row>
    <row r="473" spans="2:17" ht="15">
      <c r="B473" s="176"/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36"/>
    </row>
  </sheetData>
  <sheetProtection/>
  <mergeCells count="41">
    <mergeCell ref="B8:O8"/>
    <mergeCell ref="B15:K15"/>
    <mergeCell ref="B46:K46"/>
    <mergeCell ref="B77:K77"/>
    <mergeCell ref="R10:S10"/>
    <mergeCell ref="T10:U10"/>
    <mergeCell ref="J10:K10"/>
    <mergeCell ref="L10:M10"/>
    <mergeCell ref="B108:M108"/>
    <mergeCell ref="B145:O145"/>
    <mergeCell ref="B181:O181"/>
    <mergeCell ref="P181:Q181"/>
    <mergeCell ref="B218:J218"/>
    <mergeCell ref="B284:H284"/>
    <mergeCell ref="Q436:R436"/>
    <mergeCell ref="B322:P322"/>
    <mergeCell ref="B359:P359"/>
    <mergeCell ref="Q359:R359"/>
    <mergeCell ref="B361:Q361"/>
    <mergeCell ref="B385:P385"/>
    <mergeCell ref="B395:S395"/>
    <mergeCell ref="B465:P465"/>
    <mergeCell ref="B472:P472"/>
    <mergeCell ref="B473:P473"/>
    <mergeCell ref="N10:O10"/>
    <mergeCell ref="B430:Q430"/>
    <mergeCell ref="B434:P434"/>
    <mergeCell ref="Q434:R434"/>
    <mergeCell ref="B435:P435"/>
    <mergeCell ref="Q435:R435"/>
    <mergeCell ref="B436:P436"/>
    <mergeCell ref="V10:W10"/>
    <mergeCell ref="X10:Y10"/>
    <mergeCell ref="B1:P1"/>
    <mergeCell ref="R1:AD1"/>
    <mergeCell ref="B3:AD3"/>
    <mergeCell ref="B5:AD5"/>
    <mergeCell ref="B10:C10"/>
    <mergeCell ref="D10:E10"/>
    <mergeCell ref="F10:G10"/>
    <mergeCell ref="H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2017-10-09T08:16:21Z</dcterms:modified>
  <cp:category/>
  <cp:version/>
  <cp:contentType/>
  <cp:contentStatus/>
</cp:coreProperties>
</file>