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PAQ\GPAQ-COMU\Activitat Acadèmica\Assignació de docència\Encàrrecs\Doctorat\2023\"/>
    </mc:Choice>
  </mc:AlternateContent>
  <bookViews>
    <workbookView xWindow="0" yWindow="0" windowWidth="19368" windowHeight="9048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54" i="1" s="1"/>
  <c r="E57" i="1" s="1"/>
  <c r="EW57" i="1"/>
  <c r="EV57" i="1"/>
  <c r="EU57" i="1"/>
  <c r="FD54" i="1"/>
  <c r="FD57" i="1" s="1"/>
  <c r="FC54" i="1"/>
  <c r="FC57" i="1" s="1"/>
  <c r="FB54" i="1"/>
  <c r="FD55" i="1" s="1"/>
  <c r="FA54" i="1"/>
  <c r="FA57" i="1" s="1"/>
  <c r="EZ54" i="1"/>
  <c r="EZ57" i="1" s="1"/>
  <c r="EY54" i="1"/>
  <c r="FA55" i="1" s="1"/>
  <c r="EX54" i="1"/>
  <c r="EX57" i="1" s="1"/>
  <c r="EW54" i="1"/>
  <c r="EV54" i="1"/>
  <c r="EX55" i="1" s="1"/>
  <c r="EU54" i="1"/>
  <c r="ET54" i="1"/>
  <c r="ET57" i="1" s="1"/>
  <c r="ES54" i="1"/>
  <c r="ES57" i="1" s="1"/>
  <c r="ER54" i="1"/>
  <c r="ER57" i="1" s="1"/>
  <c r="EQ54" i="1"/>
  <c r="EQ57" i="1" s="1"/>
  <c r="EP54" i="1"/>
  <c r="EP57" i="1" s="1"/>
  <c r="EO54" i="1"/>
  <c r="EO57" i="1" s="1"/>
  <c r="EN54" i="1"/>
  <c r="EN57" i="1" s="1"/>
  <c r="EM54" i="1"/>
  <c r="EM57" i="1" s="1"/>
  <c r="EL54" i="1"/>
  <c r="EL57" i="1" s="1"/>
  <c r="FI53" i="1"/>
  <c r="BA53" i="1"/>
  <c r="FH53" i="1" s="1"/>
  <c r="AZ53" i="1"/>
  <c r="FG53" i="1" s="1"/>
  <c r="FI52" i="1"/>
  <c r="FH52" i="1"/>
  <c r="FG52" i="1"/>
  <c r="FE52" i="1"/>
  <c r="FI51" i="1"/>
  <c r="EB51" i="1"/>
  <c r="EB54" i="1" s="1"/>
  <c r="EB57" i="1" s="1"/>
  <c r="EA51" i="1"/>
  <c r="EA54" i="1" s="1"/>
  <c r="EA57" i="1" s="1"/>
  <c r="DZ51" i="1"/>
  <c r="DZ54" i="1" s="1"/>
  <c r="FH50" i="1"/>
  <c r="DV50" i="1"/>
  <c r="FI50" i="1" s="1"/>
  <c r="DT50" i="1"/>
  <c r="CA50" i="1"/>
  <c r="FI49" i="1"/>
  <c r="FH49" i="1"/>
  <c r="FG49" i="1"/>
  <c r="FE49" i="1"/>
  <c r="FI48" i="1"/>
  <c r="DU48" i="1"/>
  <c r="FH48" i="1" s="1"/>
  <c r="DT48" i="1"/>
  <c r="FG48" i="1" s="1"/>
  <c r="DW47" i="1"/>
  <c r="DN47" i="1"/>
  <c r="CX47" i="1"/>
  <c r="CX54" i="1" s="1"/>
  <c r="CX57" i="1" s="1"/>
  <c r="CW47" i="1"/>
  <c r="CV47" i="1"/>
  <c r="CV54" i="1" s="1"/>
  <c r="CV57" i="1" s="1"/>
  <c r="I47" i="1"/>
  <c r="I54" i="1" s="1"/>
  <c r="I57" i="1" s="1"/>
  <c r="H47" i="1"/>
  <c r="H54" i="1" s="1"/>
  <c r="H57" i="1" s="1"/>
  <c r="G47" i="1"/>
  <c r="FI46" i="1"/>
  <c r="AP46" i="1"/>
  <c r="AP54" i="1" s="1"/>
  <c r="AP57" i="1" s="1"/>
  <c r="AO46" i="1"/>
  <c r="AO54" i="1" s="1"/>
  <c r="AO57" i="1" s="1"/>
  <c r="AN46" i="1"/>
  <c r="AN54" i="1" s="1"/>
  <c r="AN57" i="1" s="1"/>
  <c r="G46" i="1"/>
  <c r="DO45" i="1"/>
  <c r="DN45" i="1"/>
  <c r="DB45" i="1"/>
  <c r="CC45" i="1"/>
  <c r="CC54" i="1" s="1"/>
  <c r="CC57" i="1" s="1"/>
  <c r="CB45" i="1"/>
  <c r="CA45" i="1"/>
  <c r="BV45" i="1"/>
  <c r="BQ45" i="1"/>
  <c r="BQ54" i="1" s="1"/>
  <c r="BQ57" i="1" s="1"/>
  <c r="BP45" i="1"/>
  <c r="BP54" i="1" s="1"/>
  <c r="BP57" i="1" s="1"/>
  <c r="BO45" i="1"/>
  <c r="BO54" i="1" s="1"/>
  <c r="BH45" i="1"/>
  <c r="BH54" i="1" s="1"/>
  <c r="BH57" i="1" s="1"/>
  <c r="BG45" i="1"/>
  <c r="BG54" i="1" s="1"/>
  <c r="BG57" i="1" s="1"/>
  <c r="BF45" i="1"/>
  <c r="BF54" i="1" s="1"/>
  <c r="BE45" i="1"/>
  <c r="BE54" i="1" s="1"/>
  <c r="BE57" i="1" s="1"/>
  <c r="BD45" i="1"/>
  <c r="BD54" i="1" s="1"/>
  <c r="BD57" i="1" s="1"/>
  <c r="BC45" i="1"/>
  <c r="BC54" i="1" s="1"/>
  <c r="BB45" i="1"/>
  <c r="BB54" i="1" s="1"/>
  <c r="BB57" i="1" s="1"/>
  <c r="BA45" i="1"/>
  <c r="BA54" i="1" s="1"/>
  <c r="BA57" i="1" s="1"/>
  <c r="AZ45" i="1"/>
  <c r="AZ54" i="1" s="1"/>
  <c r="AZ57" i="1" s="1"/>
  <c r="AV45" i="1"/>
  <c r="AV54" i="1" s="1"/>
  <c r="AV57" i="1" s="1"/>
  <c r="AU45" i="1"/>
  <c r="AU54" i="1" s="1"/>
  <c r="AU57" i="1" s="1"/>
  <c r="AT45" i="1"/>
  <c r="AT54" i="1" s="1"/>
  <c r="AJ45" i="1"/>
  <c r="AJ54" i="1" s="1"/>
  <c r="AJ57" i="1" s="1"/>
  <c r="AI45" i="1"/>
  <c r="AI54" i="1" s="1"/>
  <c r="AI57" i="1" s="1"/>
  <c r="AH45" i="1"/>
  <c r="AH54" i="1" s="1"/>
  <c r="AE45" i="1"/>
  <c r="L45" i="1"/>
  <c r="L54" i="1" s="1"/>
  <c r="L57" i="1" s="1"/>
  <c r="K45" i="1"/>
  <c r="K54" i="1" s="1"/>
  <c r="K57" i="1" s="1"/>
  <c r="J45" i="1"/>
  <c r="J54" i="1" s="1"/>
  <c r="DM44" i="1"/>
  <c r="FI44" i="1" s="1"/>
  <c r="DL44" i="1"/>
  <c r="DL54" i="1" s="1"/>
  <c r="DL57" i="1" s="1"/>
  <c r="DK44" i="1"/>
  <c r="FG44" i="1" s="1"/>
  <c r="DO43" i="1"/>
  <c r="DN43" i="1"/>
  <c r="DD43" i="1"/>
  <c r="DD54" i="1" s="1"/>
  <c r="DD57" i="1" s="1"/>
  <c r="DC43" i="1"/>
  <c r="DC54" i="1" s="1"/>
  <c r="DC57" i="1" s="1"/>
  <c r="DB43" i="1"/>
  <c r="DB54" i="1" s="1"/>
  <c r="CA43" i="1"/>
  <c r="AK43" i="1"/>
  <c r="AE43" i="1"/>
  <c r="FI42" i="1"/>
  <c r="BR42" i="1"/>
  <c r="AF42" i="1"/>
  <c r="FH42" i="1" s="1"/>
  <c r="AE42" i="1"/>
  <c r="BW41" i="1"/>
  <c r="BW54" i="1" s="1"/>
  <c r="BW57" i="1" s="1"/>
  <c r="BV41" i="1"/>
  <c r="BV54" i="1" s="1"/>
  <c r="BV57" i="1" s="1"/>
  <c r="BU41" i="1"/>
  <c r="BU54" i="1" s="1"/>
  <c r="DT40" i="1"/>
  <c r="DN40" i="1"/>
  <c r="DE40" i="1"/>
  <c r="CS40" i="1"/>
  <c r="CR40" i="1"/>
  <c r="CR54" i="1" s="1"/>
  <c r="CR57" i="1" s="1"/>
  <c r="CQ40" i="1"/>
  <c r="CQ54" i="1" s="1"/>
  <c r="CQ57" i="1" s="1"/>
  <c r="CP40" i="1"/>
  <c r="CP54" i="1" s="1"/>
  <c r="AG40" i="1"/>
  <c r="AF40" i="1"/>
  <c r="AE40" i="1"/>
  <c r="AA40" i="1"/>
  <c r="AA54" i="1" s="1"/>
  <c r="AA57" i="1" s="1"/>
  <c r="G40" i="1"/>
  <c r="FI39" i="1"/>
  <c r="FH39" i="1"/>
  <c r="EK39" i="1"/>
  <c r="EK54" i="1" s="1"/>
  <c r="EK57" i="1" s="1"/>
  <c r="DN39" i="1"/>
  <c r="AK39" i="1"/>
  <c r="DT38" i="1"/>
  <c r="DS38" i="1"/>
  <c r="DS54" i="1" s="1"/>
  <c r="DS57" i="1" s="1"/>
  <c r="DR38" i="1"/>
  <c r="DR54" i="1" s="1"/>
  <c r="DR57" i="1" s="1"/>
  <c r="DQ38" i="1"/>
  <c r="DQ54" i="1" s="1"/>
  <c r="DP38" i="1"/>
  <c r="DP54" i="1" s="1"/>
  <c r="DP57" i="1" s="1"/>
  <c r="DN38" i="1"/>
  <c r="CF37" i="1"/>
  <c r="CF54" i="1" s="1"/>
  <c r="CF57" i="1" s="1"/>
  <c r="CE37" i="1"/>
  <c r="CE54" i="1" s="1"/>
  <c r="CE57" i="1" s="1"/>
  <c r="CD37" i="1"/>
  <c r="CD54" i="1" s="1"/>
  <c r="FI36" i="1"/>
  <c r="Z36" i="1"/>
  <c r="FH36" i="1" s="1"/>
  <c r="Y36" i="1"/>
  <c r="Y54" i="1" s="1"/>
  <c r="FG35" i="1"/>
  <c r="EE35" i="1"/>
  <c r="FI35" i="1" s="1"/>
  <c r="ED35" i="1"/>
  <c r="ED54" i="1" s="1"/>
  <c r="ED57" i="1" s="1"/>
  <c r="EC35" i="1"/>
  <c r="EC54" i="1" s="1"/>
  <c r="DY34" i="1"/>
  <c r="DY54" i="1" s="1"/>
  <c r="DY57" i="1" s="1"/>
  <c r="DX34" i="1"/>
  <c r="DX54" i="1" s="1"/>
  <c r="DX57" i="1" s="1"/>
  <c r="DW34" i="1"/>
  <c r="CU34" i="1"/>
  <c r="CU54" i="1" s="1"/>
  <c r="CU57" i="1" s="1"/>
  <c r="CT34" i="1"/>
  <c r="CT54" i="1" s="1"/>
  <c r="CT57" i="1" s="1"/>
  <c r="CS34" i="1"/>
  <c r="AE34" i="1"/>
  <c r="FI33" i="1"/>
  <c r="CB33" i="1"/>
  <c r="CA33" i="1"/>
  <c r="FG33" i="1" s="1"/>
  <c r="DJ32" i="1"/>
  <c r="DJ54" i="1" s="1"/>
  <c r="DJ57" i="1" s="1"/>
  <c r="DI32" i="1"/>
  <c r="DI54" i="1" s="1"/>
  <c r="DI57" i="1" s="1"/>
  <c r="DH32" i="1"/>
  <c r="DH54" i="1" s="1"/>
  <c r="DH57" i="1" s="1"/>
  <c r="AD31" i="1"/>
  <c r="AD54" i="1" s="1"/>
  <c r="AD57" i="1" s="1"/>
  <c r="AC31" i="1"/>
  <c r="AC54" i="1" s="1"/>
  <c r="AC57" i="1" s="1"/>
  <c r="AB31" i="1"/>
  <c r="AB54" i="1" s="1"/>
  <c r="F31" i="1"/>
  <c r="FI31" i="1" s="1"/>
  <c r="D31" i="1"/>
  <c r="DN30" i="1"/>
  <c r="BZ30" i="1"/>
  <c r="BZ54" i="1" s="1"/>
  <c r="BZ57" i="1" s="1"/>
  <c r="BY30" i="1"/>
  <c r="FH30" i="1" s="1"/>
  <c r="BX30" i="1"/>
  <c r="BX54" i="1" s="1"/>
  <c r="FI29" i="1"/>
  <c r="DN29" i="1"/>
  <c r="BS29" i="1"/>
  <c r="FH29" i="1" s="1"/>
  <c r="BR29" i="1"/>
  <c r="DO28" i="1"/>
  <c r="DN28" i="1"/>
  <c r="CI28" i="1"/>
  <c r="CI54" i="1" s="1"/>
  <c r="CI57" i="1" s="1"/>
  <c r="CH28" i="1"/>
  <c r="CH54" i="1" s="1"/>
  <c r="CH57" i="1" s="1"/>
  <c r="CG28" i="1"/>
  <c r="CG54" i="1" s="1"/>
  <c r="DA27" i="1"/>
  <c r="DA54" i="1" s="1"/>
  <c r="DA57" i="1" s="1"/>
  <c r="CZ27" i="1"/>
  <c r="CZ54" i="1" s="1"/>
  <c r="CZ57" i="1" s="1"/>
  <c r="CY27" i="1"/>
  <c r="AQ27" i="1"/>
  <c r="AM27" i="1"/>
  <c r="AM54" i="1" s="1"/>
  <c r="AM57" i="1" s="1"/>
  <c r="AL27" i="1"/>
  <c r="AL54" i="1" s="1"/>
  <c r="AL57" i="1" s="1"/>
  <c r="AK27" i="1"/>
  <c r="FI26" i="1"/>
  <c r="FH26" i="1"/>
  <c r="CJ26" i="1"/>
  <c r="FG26" i="1" s="1"/>
  <c r="FI25" i="1"/>
  <c r="FH25" i="1"/>
  <c r="DN25" i="1"/>
  <c r="FE25" i="1" s="1"/>
  <c r="CY24" i="1"/>
  <c r="CO24" i="1"/>
  <c r="CO54" i="1" s="1"/>
  <c r="CO57" i="1" s="1"/>
  <c r="CN24" i="1"/>
  <c r="CN54" i="1" s="1"/>
  <c r="CN57" i="1" s="1"/>
  <c r="CM24" i="1"/>
  <c r="CM54" i="1" s="1"/>
  <c r="T24" i="1"/>
  <c r="T54" i="1" s="1"/>
  <c r="T57" i="1" s="1"/>
  <c r="S24" i="1"/>
  <c r="EJ23" i="1"/>
  <c r="EI23" i="1"/>
  <c r="DG23" i="1"/>
  <c r="DG54" i="1" s="1"/>
  <c r="DG57" i="1" s="1"/>
  <c r="DF23" i="1"/>
  <c r="DF54" i="1" s="1"/>
  <c r="DF57" i="1" s="1"/>
  <c r="DE23" i="1"/>
  <c r="AY23" i="1"/>
  <c r="AY54" i="1" s="1"/>
  <c r="AY57" i="1" s="1"/>
  <c r="AX23" i="1"/>
  <c r="AX54" i="1" s="1"/>
  <c r="AX57" i="1" s="1"/>
  <c r="AW23" i="1"/>
  <c r="S23" i="1"/>
  <c r="DN22" i="1"/>
  <c r="BT22" i="1"/>
  <c r="BT54" i="1" s="1"/>
  <c r="BT57" i="1" s="1"/>
  <c r="BS22" i="1"/>
  <c r="BS54" i="1" s="1"/>
  <c r="BS57" i="1" s="1"/>
  <c r="BR22" i="1"/>
  <c r="AQ22" i="1"/>
  <c r="AE22" i="1"/>
  <c r="CS21" i="1"/>
  <c r="BN21" i="1"/>
  <c r="BN54" i="1" s="1"/>
  <c r="BN57" i="1" s="1"/>
  <c r="BM21" i="1"/>
  <c r="BM54" i="1" s="1"/>
  <c r="BM57" i="1" s="1"/>
  <c r="BL21" i="1"/>
  <c r="BL54" i="1" s="1"/>
  <c r="BL57" i="1" s="1"/>
  <c r="AQ21" i="1"/>
  <c r="EH20" i="1"/>
  <c r="EH54" i="1" s="1"/>
  <c r="EH57" i="1" s="1"/>
  <c r="EG20" i="1"/>
  <c r="EG54" i="1" s="1"/>
  <c r="EG57" i="1" s="1"/>
  <c r="EF20" i="1"/>
  <c r="EF54" i="1" s="1"/>
  <c r="DN20" i="1"/>
  <c r="DE20" i="1"/>
  <c r="BK20" i="1"/>
  <c r="BJ20" i="1"/>
  <c r="BJ54" i="1" s="1"/>
  <c r="BJ57" i="1" s="1"/>
  <c r="BI20" i="1"/>
  <c r="BI54" i="1" s="1"/>
  <c r="DE19" i="1"/>
  <c r="CY19" i="1"/>
  <c r="AS19" i="1"/>
  <c r="AS54" i="1" s="1"/>
  <c r="AS57" i="1" s="1"/>
  <c r="AR19" i="1"/>
  <c r="AQ19" i="1"/>
  <c r="U19" i="1"/>
  <c r="U54" i="1" s="1"/>
  <c r="U57" i="1" s="1"/>
  <c r="S19" i="1"/>
  <c r="Q19" i="1"/>
  <c r="Q54" i="1" s="1"/>
  <c r="Q57" i="1" s="1"/>
  <c r="P19" i="1"/>
  <c r="CL18" i="1"/>
  <c r="CL54" i="1" s="1"/>
  <c r="CL57" i="1" s="1"/>
  <c r="CK18" i="1"/>
  <c r="CK54" i="1" s="1"/>
  <c r="CK57" i="1" s="1"/>
  <c r="CJ18" i="1"/>
  <c r="DN17" i="1"/>
  <c r="AQ17" i="1"/>
  <c r="X17" i="1"/>
  <c r="X54" i="1" s="1"/>
  <c r="X57" i="1" s="1"/>
  <c r="W17" i="1"/>
  <c r="FH17" i="1" s="1"/>
  <c r="V17" i="1"/>
  <c r="EJ16" i="1"/>
  <c r="EJ54" i="1" s="1"/>
  <c r="EJ57" i="1" s="1"/>
  <c r="EI16" i="1"/>
  <c r="DW16" i="1"/>
  <c r="DN16" i="1"/>
  <c r="AE16" i="1"/>
  <c r="O16" i="1"/>
  <c r="O54" i="1" s="1"/>
  <c r="O57" i="1" s="1"/>
  <c r="N16" i="1"/>
  <c r="N54" i="1" s="1"/>
  <c r="N57" i="1" s="1"/>
  <c r="M16" i="1"/>
  <c r="FI15" i="1"/>
  <c r="FH15" i="1"/>
  <c r="FG15" i="1"/>
  <c r="FE15" i="1"/>
  <c r="FI14" i="1"/>
  <c r="FH14" i="1"/>
  <c r="FG14" i="1"/>
  <c r="FE14" i="1"/>
  <c r="FI13" i="1"/>
  <c r="FH13" i="1"/>
  <c r="FG13" i="1"/>
  <c r="FE13" i="1"/>
  <c r="FI12" i="1"/>
  <c r="FH12" i="1"/>
  <c r="AW12" i="1"/>
  <c r="AQ12" i="1"/>
  <c r="FH11" i="1"/>
  <c r="FG11" i="1"/>
  <c r="R11" i="1"/>
  <c r="FI11" i="1" s="1"/>
  <c r="FI10" i="1"/>
  <c r="FH10" i="1"/>
  <c r="DN10" i="1"/>
  <c r="AW10" i="1"/>
  <c r="FI9" i="1"/>
  <c r="FH9" i="1"/>
  <c r="FG9" i="1"/>
  <c r="FE9" i="1"/>
  <c r="FI8" i="1"/>
  <c r="FH8" i="1"/>
  <c r="FG8" i="1"/>
  <c r="FE8" i="1"/>
  <c r="FI7" i="1"/>
  <c r="FH7" i="1"/>
  <c r="FG7" i="1"/>
  <c r="FE7" i="1"/>
  <c r="FI6" i="1"/>
  <c r="FH6" i="1"/>
  <c r="FG6" i="1"/>
  <c r="FE6" i="1"/>
  <c r="FI5" i="1"/>
  <c r="FH5" i="1"/>
  <c r="FG5" i="1"/>
  <c r="FE5" i="1"/>
  <c r="FI4" i="1"/>
  <c r="FH4" i="1"/>
  <c r="FG4" i="1"/>
  <c r="FE4" i="1"/>
  <c r="FI43" i="1" l="1"/>
  <c r="FH47" i="1"/>
  <c r="FG51" i="1"/>
  <c r="FH23" i="1"/>
  <c r="DO54" i="1"/>
  <c r="DO57" i="1" s="1"/>
  <c r="DN54" i="1"/>
  <c r="FH21" i="1"/>
  <c r="AK54" i="1"/>
  <c r="FG37" i="1"/>
  <c r="FG42" i="1"/>
  <c r="AQ54" i="1"/>
  <c r="FI20" i="1"/>
  <c r="FG21" i="1"/>
  <c r="FI22" i="1"/>
  <c r="FH38" i="1"/>
  <c r="FG17" i="1"/>
  <c r="FH44" i="1"/>
  <c r="FG46" i="1"/>
  <c r="FG31" i="1"/>
  <c r="FE37" i="1"/>
  <c r="FG20" i="1"/>
  <c r="FH22" i="1"/>
  <c r="FI23" i="1"/>
  <c r="FE32" i="1"/>
  <c r="FI37" i="1"/>
  <c r="FG50" i="1"/>
  <c r="EI54" i="1"/>
  <c r="EI57" i="1" s="1"/>
  <c r="CY54" i="1"/>
  <c r="CY57" i="1" s="1"/>
  <c r="FG22" i="1"/>
  <c r="FG24" i="1"/>
  <c r="FG29" i="1"/>
  <c r="FG32" i="1"/>
  <c r="FH46" i="1"/>
  <c r="FE53" i="1"/>
  <c r="FI17" i="1"/>
  <c r="DW54" i="1"/>
  <c r="DW57" i="1" s="1"/>
  <c r="FE21" i="1"/>
  <c r="FE40" i="1"/>
  <c r="FI47" i="1"/>
  <c r="EE54" i="1"/>
  <c r="EE57" i="1" s="1"/>
  <c r="CW54" i="1"/>
  <c r="CW57" i="1" s="1"/>
  <c r="FG19" i="1"/>
  <c r="FE26" i="1"/>
  <c r="FG40" i="1"/>
  <c r="FE47" i="1"/>
  <c r="FE12" i="1"/>
  <c r="FH16" i="1"/>
  <c r="FE20" i="1"/>
  <c r="FI21" i="1"/>
  <c r="FH32" i="1"/>
  <c r="FE38" i="1"/>
  <c r="FH40" i="1"/>
  <c r="FE51" i="1"/>
  <c r="FE23" i="1"/>
  <c r="AW54" i="1"/>
  <c r="FG12" i="1"/>
  <c r="FI16" i="1"/>
  <c r="S54" i="1"/>
  <c r="U55" i="1" s="1"/>
  <c r="FI30" i="1"/>
  <c r="FI32" i="1"/>
  <c r="FG38" i="1"/>
  <c r="FI40" i="1"/>
  <c r="D54" i="1"/>
  <c r="D57" i="1" s="1"/>
  <c r="FH51" i="1"/>
  <c r="P54" i="1"/>
  <c r="P57" i="1" s="1"/>
  <c r="BK54" i="1"/>
  <c r="BK57" i="1" s="1"/>
  <c r="FE10" i="1"/>
  <c r="BR54" i="1"/>
  <c r="BT55" i="1" s="1"/>
  <c r="CB54" i="1"/>
  <c r="CB57" i="1" s="1"/>
  <c r="FI38" i="1"/>
  <c r="FE42" i="1"/>
  <c r="FG43" i="1"/>
  <c r="FG10" i="1"/>
  <c r="FG16" i="1"/>
  <c r="FE19" i="1"/>
  <c r="FE29" i="1"/>
  <c r="FH33" i="1"/>
  <c r="FE35" i="1"/>
  <c r="FH37" i="1"/>
  <c r="FG39" i="1"/>
  <c r="FH43" i="1"/>
  <c r="Z54" i="1"/>
  <c r="Z57" i="1" s="1"/>
  <c r="FH35" i="1"/>
  <c r="DT54" i="1"/>
  <c r="FH24" i="1"/>
  <c r="FI24" i="1"/>
  <c r="AE54" i="1"/>
  <c r="AE57" i="1" s="1"/>
  <c r="FG34" i="1"/>
  <c r="FE43" i="1"/>
  <c r="FE46" i="1"/>
  <c r="FG47" i="1"/>
  <c r="BY54" i="1"/>
  <c r="BY57" i="1" s="1"/>
  <c r="DU54" i="1"/>
  <c r="DU57" i="1" s="1"/>
  <c r="FE34" i="1"/>
  <c r="DE54" i="1"/>
  <c r="DE57" i="1" s="1"/>
  <c r="FE22" i="1"/>
  <c r="CJ54" i="1"/>
  <c r="CL55" i="1" s="1"/>
  <c r="CS54" i="1"/>
  <c r="CU55" i="1" s="1"/>
  <c r="FG23" i="1"/>
  <c r="FH31" i="1"/>
  <c r="BI57" i="1"/>
  <c r="DB57" i="1"/>
  <c r="DD55" i="1"/>
  <c r="L55" i="1"/>
  <c r="J57" i="1"/>
  <c r="CF55" i="1"/>
  <c r="CD57" i="1"/>
  <c r="BC57" i="1"/>
  <c r="BE55" i="1"/>
  <c r="CI55" i="1"/>
  <c r="CG57" i="1"/>
  <c r="EB55" i="1"/>
  <c r="DZ57" i="1"/>
  <c r="AY55" i="1"/>
  <c r="AW57" i="1"/>
  <c r="EF57" i="1"/>
  <c r="EH55" i="1"/>
  <c r="DP55" i="1"/>
  <c r="DN57" i="1"/>
  <c r="EC57" i="1"/>
  <c r="BU57" i="1"/>
  <c r="BW55" i="1"/>
  <c r="AH57" i="1"/>
  <c r="AJ55" i="1"/>
  <c r="AQ57" i="1"/>
  <c r="CM57" i="1"/>
  <c r="CO55" i="1"/>
  <c r="AK57" i="1"/>
  <c r="AM55" i="1"/>
  <c r="CR55" i="1"/>
  <c r="CP57" i="1"/>
  <c r="BH55" i="1"/>
  <c r="BF57" i="1"/>
  <c r="AB57" i="1"/>
  <c r="AD55" i="1"/>
  <c r="DA55" i="1"/>
  <c r="AV55" i="1"/>
  <c r="AT57" i="1"/>
  <c r="BO57" i="1"/>
  <c r="BQ55" i="1"/>
  <c r="DT57" i="1"/>
  <c r="CJ57" i="1"/>
  <c r="BX57" i="1"/>
  <c r="Y57" i="1"/>
  <c r="DS55" i="1"/>
  <c r="DQ57" i="1"/>
  <c r="CX55" i="1"/>
  <c r="FG18" i="1"/>
  <c r="FG25" i="1"/>
  <c r="FE11" i="1"/>
  <c r="FH18" i="1"/>
  <c r="FG28" i="1"/>
  <c r="FE31" i="1"/>
  <c r="FE41" i="1"/>
  <c r="FG45" i="1"/>
  <c r="FE50" i="1"/>
  <c r="G54" i="1"/>
  <c r="CA54" i="1"/>
  <c r="DK54" i="1"/>
  <c r="EO55" i="1"/>
  <c r="FE18" i="1"/>
  <c r="FE45" i="1"/>
  <c r="R54" i="1"/>
  <c r="R57" i="1" s="1"/>
  <c r="FI18" i="1"/>
  <c r="FH19" i="1"/>
  <c r="FH20" i="1"/>
  <c r="FH28" i="1"/>
  <c r="FE33" i="1"/>
  <c r="FE36" i="1"/>
  <c r="FE39" i="1"/>
  <c r="FG41" i="1"/>
  <c r="FH45" i="1"/>
  <c r="FE48" i="1"/>
  <c r="AF54" i="1"/>
  <c r="AF57" i="1" s="1"/>
  <c r="AR54" i="1"/>
  <c r="AR57" i="1" s="1"/>
  <c r="ER55" i="1"/>
  <c r="EY57" i="1"/>
  <c r="F54" i="1"/>
  <c r="F57" i="1" s="1"/>
  <c r="DV54" i="1"/>
  <c r="DV57" i="1" s="1"/>
  <c r="FI19" i="1"/>
  <c r="FE27" i="1"/>
  <c r="FI28" i="1"/>
  <c r="FE30" i="1"/>
  <c r="FH34" i="1"/>
  <c r="FG36" i="1"/>
  <c r="FH41" i="1"/>
  <c r="FE44" i="1"/>
  <c r="FI45" i="1"/>
  <c r="AG54" i="1"/>
  <c r="AG57" i="1" s="1"/>
  <c r="DM54" i="1"/>
  <c r="DM57" i="1" s="1"/>
  <c r="AP55" i="1"/>
  <c r="DJ55" i="1"/>
  <c r="EU55" i="1"/>
  <c r="BN55" i="1"/>
  <c r="FE28" i="1"/>
  <c r="FE17" i="1"/>
  <c r="FG27" i="1"/>
  <c r="FG30" i="1"/>
  <c r="FI34" i="1"/>
  <c r="FI41" i="1"/>
  <c r="V54" i="1"/>
  <c r="FH27" i="1"/>
  <c r="W54" i="1"/>
  <c r="W57" i="1" s="1"/>
  <c r="FB57" i="1"/>
  <c r="FE24" i="1"/>
  <c r="FI27" i="1"/>
  <c r="FE16" i="1"/>
  <c r="M54" i="1"/>
  <c r="BB55" i="1"/>
  <c r="CS57" i="1" l="1"/>
  <c r="EK55" i="1"/>
  <c r="F55" i="1"/>
  <c r="BR57" i="1"/>
  <c r="R55" i="1"/>
  <c r="BK55" i="1"/>
  <c r="DY55" i="1"/>
  <c r="S57" i="1"/>
  <c r="AA55" i="1"/>
  <c r="BZ55" i="1"/>
  <c r="DG55" i="1"/>
  <c r="FI54" i="1"/>
  <c r="FI57" i="1" s="1"/>
  <c r="EE55" i="1"/>
  <c r="FG54" i="1"/>
  <c r="FG57" i="1" s="1"/>
  <c r="AS55" i="1"/>
  <c r="FH54" i="1"/>
  <c r="FH57" i="1" s="1"/>
  <c r="FE54" i="1"/>
  <c r="DV55" i="1"/>
  <c r="G57" i="1"/>
  <c r="I55" i="1"/>
  <c r="X55" i="1"/>
  <c r="V57" i="1"/>
  <c r="O55" i="1"/>
  <c r="M57" i="1"/>
  <c r="DK57" i="1"/>
  <c r="DM55" i="1"/>
  <c r="CA57" i="1"/>
  <c r="CC55" i="1"/>
  <c r="AG55" i="1"/>
  <c r="FE57" i="1" l="1"/>
  <c r="FJ57" i="1"/>
</calcChain>
</file>

<file path=xl/sharedStrings.xml><?xml version="1.0" encoding="utf-8"?>
<sst xmlns="http://schemas.openxmlformats.org/spreadsheetml/2006/main" count="406" uniqueCount="146">
  <si>
    <t>Programes de doctorat 2022/23</t>
  </si>
  <si>
    <t>Unitat Acadèmica</t>
  </si>
  <si>
    <t>ADE - INTER</t>
  </si>
  <si>
    <t>AEMA</t>
  </si>
  <si>
    <t>AE</t>
  </si>
  <si>
    <t>AC</t>
  </si>
  <si>
    <t>ARV</t>
  </si>
  <si>
    <t>BIOIN</t>
  </si>
  <si>
    <t>CEM</t>
  </si>
  <si>
    <t>ENMRN</t>
  </si>
  <si>
    <t>CSDO</t>
  </si>
  <si>
    <t>CTA</t>
  </si>
  <si>
    <t>CM</t>
  </si>
  <si>
    <t>Comp</t>
  </si>
  <si>
    <t>PACUR</t>
  </si>
  <si>
    <t>EB</t>
  </si>
  <si>
    <t>EC</t>
  </si>
  <si>
    <t>EPQ</t>
  </si>
  <si>
    <t>EAmb</t>
  </si>
  <si>
    <t>Eciv</t>
  </si>
  <si>
    <t>Eterr</t>
  </si>
  <si>
    <t>EE</t>
  </si>
  <si>
    <t>EEL</t>
  </si>
  <si>
    <t>EIT</t>
  </si>
  <si>
    <t>EMFA</t>
  </si>
  <si>
    <t>ENRI</t>
  </si>
  <si>
    <t>EO</t>
  </si>
  <si>
    <t>ESDE</t>
  </si>
  <si>
    <t>Etel</t>
  </si>
  <si>
    <t>Eterm</t>
  </si>
  <si>
    <t>ETP</t>
  </si>
  <si>
    <t>EIO</t>
  </si>
  <si>
    <t>FCA</t>
  </si>
  <si>
    <t>Foton</t>
  </si>
  <si>
    <t>GVUA</t>
  </si>
  <si>
    <t>IA</t>
  </si>
  <si>
    <t>MA</t>
  </si>
  <si>
    <t>PB</t>
  </si>
  <si>
    <t>PA</t>
  </si>
  <si>
    <t>RNMA</t>
  </si>
  <si>
    <t>Sost</t>
  </si>
  <si>
    <t>TAB</t>
  </si>
  <si>
    <t>TAEU</t>
  </si>
  <si>
    <t>TSC</t>
  </si>
  <si>
    <t>THA</t>
  </si>
  <si>
    <t>Urb</t>
  </si>
  <si>
    <t>SEE</t>
  </si>
  <si>
    <t>EECT</t>
  </si>
  <si>
    <t>Formació transversal</t>
  </si>
  <si>
    <t>EM SEED</t>
  </si>
  <si>
    <t>EM DC</t>
  </si>
  <si>
    <t>EM  IT4BI</t>
  </si>
  <si>
    <t>EM MASE</t>
  </si>
  <si>
    <t>EM FOT</t>
  </si>
  <si>
    <t>EM SELECT+</t>
  </si>
  <si>
    <t>Total</t>
  </si>
  <si>
    <t xml:space="preserve">Punts pel model de repartiment </t>
  </si>
  <si>
    <t>Punts comissions acadèmiques</t>
  </si>
  <si>
    <t>Punts per càrrecs</t>
  </si>
  <si>
    <t>UA</t>
  </si>
  <si>
    <t>Sigles</t>
  </si>
  <si>
    <t>secció</t>
  </si>
  <si>
    <t>mod</t>
  </si>
  <si>
    <t>C. Acad.</t>
  </si>
  <si>
    <t>càr</t>
  </si>
  <si>
    <t>C. Acad</t>
  </si>
  <si>
    <t>ETSAB</t>
  </si>
  <si>
    <t>ESEIAAT</t>
  </si>
  <si>
    <t>ETSETB</t>
  </si>
  <si>
    <t>FIB</t>
  </si>
  <si>
    <t>EPSEVG</t>
  </si>
  <si>
    <t>ICE</t>
  </si>
  <si>
    <t>INTEXTER</t>
  </si>
  <si>
    <t>IOC</t>
  </si>
  <si>
    <t>INTE</t>
  </si>
  <si>
    <t>IS</t>
  </si>
  <si>
    <t>IRII</t>
  </si>
  <si>
    <t>930</t>
  </si>
  <si>
    <t>CTVG</t>
  </si>
  <si>
    <t>701</t>
  </si>
  <si>
    <t>702</t>
  </si>
  <si>
    <t>CMEM</t>
  </si>
  <si>
    <t>Tèxtil</t>
  </si>
  <si>
    <t>707</t>
  </si>
  <si>
    <t>ESAII</t>
  </si>
  <si>
    <t>709</t>
  </si>
  <si>
    <t>710</t>
  </si>
  <si>
    <t>712</t>
  </si>
  <si>
    <t>EM</t>
  </si>
  <si>
    <t>713</t>
  </si>
  <si>
    <t>EQ</t>
  </si>
  <si>
    <t>715</t>
  </si>
  <si>
    <t>717</t>
  </si>
  <si>
    <t>EGE</t>
  </si>
  <si>
    <t>Paper</t>
  </si>
  <si>
    <t>723</t>
  </si>
  <si>
    <t>CS</t>
  </si>
  <si>
    <t>724</t>
  </si>
  <si>
    <t>MMT</t>
  </si>
  <si>
    <t>729</t>
  </si>
  <si>
    <t>MF</t>
  </si>
  <si>
    <t>731</t>
  </si>
  <si>
    <t>OO</t>
  </si>
  <si>
    <t>732</t>
  </si>
  <si>
    <t>OE</t>
  </si>
  <si>
    <t>735</t>
  </si>
  <si>
    <t>737</t>
  </si>
  <si>
    <t>RMEE</t>
  </si>
  <si>
    <t>739</t>
  </si>
  <si>
    <t>740</t>
  </si>
  <si>
    <t>UOT</t>
  </si>
  <si>
    <t>742</t>
  </si>
  <si>
    <t>CEN</t>
  </si>
  <si>
    <t>744</t>
  </si>
  <si>
    <t>ET</t>
  </si>
  <si>
    <t>745</t>
  </si>
  <si>
    <t>EAB</t>
  </si>
  <si>
    <t>747</t>
  </si>
  <si>
    <t>ESSI</t>
  </si>
  <si>
    <t>748</t>
  </si>
  <si>
    <t>FÍS</t>
  </si>
  <si>
    <t>Fís</t>
  </si>
  <si>
    <t>Nucl</t>
  </si>
  <si>
    <t>Aero</t>
  </si>
  <si>
    <t>749</t>
  </si>
  <si>
    <t>MAT</t>
  </si>
  <si>
    <t>750</t>
  </si>
  <si>
    <t>EMIT</t>
  </si>
  <si>
    <t>751</t>
  </si>
  <si>
    <t>ECA</t>
  </si>
  <si>
    <t>752</t>
  </si>
  <si>
    <t>RA</t>
  </si>
  <si>
    <t>753</t>
  </si>
  <si>
    <t>TA</t>
  </si>
  <si>
    <t>CA1</t>
  </si>
  <si>
    <t>EA-Estr</t>
  </si>
  <si>
    <t>EA-Mat</t>
  </si>
  <si>
    <t>754</t>
  </si>
  <si>
    <t>Edif</t>
  </si>
  <si>
    <t>756</t>
  </si>
  <si>
    <t>THATC</t>
  </si>
  <si>
    <t>CA</t>
  </si>
  <si>
    <t>Angl</t>
  </si>
  <si>
    <t>758</t>
  </si>
  <si>
    <t>EPC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</si>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</sst>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8"/>
      <color rgb="FF000000"/>
      <name val="Calibri"/>
      <family val="2"/>
    </font>
    <font>
      <b/>
      <sz val="16"/>
      <color rgb="FF000080"/>
      <name val="Arial"/>
      <family val="2"/>
    </font>
    <font>
      <b/>
      <sz val="14"/>
      <color rgb="FFFFFFFF"/>
      <name val="Arial"/>
      <family val="2"/>
    </font>
    <font>
      <b/>
      <sz val="9"/>
      <color rgb="FFFFFFFF"/>
      <name val="Arial"/>
      <family val="2"/>
    </font>
    <font>
      <sz val="8"/>
      <color rgb="FFFFFFFF"/>
      <name val="Arial"/>
      <family val="2"/>
    </font>
    <font>
      <b/>
      <sz val="8"/>
      <color rgb="FFFFFFFF"/>
      <name val="Calibri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70C0"/>
        <bgColor rgb="FF000000"/>
      </patternFill>
    </fill>
    <fill>
      <patternFill patternType="solid">
        <fgColor rgb="FF244062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31869B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EBF1DE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FFFFFF"/>
      </right>
      <top style="thin">
        <color indexed="64"/>
      </top>
      <bottom style="thin">
        <color rgb="FF000000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104">
    <xf numFmtId="0" fontId="0" fillId="0" borderId="0" xfId="0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165" fontId="6" fillId="3" borderId="11" xfId="1" applyNumberFormat="1" applyFont="1" applyFill="1" applyBorder="1" applyAlignment="1">
      <alignment horizontal="center" vertical="center" wrapText="1"/>
    </xf>
    <xf numFmtId="1" fontId="7" fillId="4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165" fontId="7" fillId="6" borderId="15" xfId="1" applyNumberFormat="1" applyFont="1" applyFill="1" applyBorder="1" applyAlignment="1">
      <alignment horizontal="center" vertical="center" wrapText="1"/>
    </xf>
    <xf numFmtId="165" fontId="7" fillId="7" borderId="15" xfId="1" applyNumberFormat="1" applyFont="1" applyFill="1" applyBorder="1" applyAlignment="1">
      <alignment horizontal="center" vertical="center" wrapText="1"/>
    </xf>
    <xf numFmtId="165" fontId="7" fillId="8" borderId="15" xfId="1" applyNumberFormat="1" applyFont="1" applyFill="1" applyBorder="1" applyAlignment="1">
      <alignment horizontal="center" vertical="center" wrapText="1"/>
    </xf>
    <xf numFmtId="165" fontId="7" fillId="8" borderId="16" xfId="1" applyNumberFormat="1" applyFont="1" applyFill="1" applyBorder="1" applyAlignment="1">
      <alignment horizontal="center" vertical="center" wrapText="1"/>
    </xf>
    <xf numFmtId="165" fontId="7" fillId="6" borderId="17" xfId="1" applyNumberFormat="1" applyFont="1" applyFill="1" applyBorder="1" applyAlignment="1">
      <alignment horizontal="center" vertical="center" wrapText="1"/>
    </xf>
    <xf numFmtId="165" fontId="7" fillId="8" borderId="17" xfId="1" applyNumberFormat="1" applyFont="1" applyFill="1" applyBorder="1" applyAlignment="1">
      <alignment horizontal="center" vertical="center" wrapText="1"/>
    </xf>
    <xf numFmtId="165" fontId="9" fillId="6" borderId="17" xfId="1" applyNumberFormat="1" applyFont="1" applyFill="1" applyBorder="1" applyAlignment="1">
      <alignment horizontal="center" vertical="center" wrapText="1"/>
    </xf>
    <xf numFmtId="165" fontId="7" fillId="7" borderId="17" xfId="1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2" fontId="12" fillId="0" borderId="14" xfId="1" applyNumberFormat="1" applyFont="1" applyFill="1" applyBorder="1" applyAlignment="1">
      <alignment horizontal="center" vertical="center" wrapText="1"/>
    </xf>
    <xf numFmtId="2" fontId="13" fillId="0" borderId="14" xfId="1" applyNumberFormat="1" applyFont="1" applyFill="1" applyBorder="1" applyAlignment="1">
      <alignment horizontal="center" vertical="center" wrapText="1"/>
    </xf>
    <xf numFmtId="2" fontId="12" fillId="9" borderId="14" xfId="1" applyNumberFormat="1" applyFont="1" applyFill="1" applyBorder="1" applyAlignment="1">
      <alignment horizontal="center" vertical="center" wrapText="1"/>
    </xf>
    <xf numFmtId="2" fontId="12" fillId="9" borderId="2" xfId="1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14" fillId="10" borderId="0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2" fontId="15" fillId="11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15" fillId="0" borderId="14" xfId="1" applyNumberFormat="1" applyFont="1" applyFill="1" applyBorder="1" applyAlignment="1">
      <alignment horizontal="center" vertical="center"/>
    </xf>
    <xf numFmtId="2" fontId="15" fillId="9" borderId="14" xfId="1" applyNumberFormat="1" applyFont="1" applyFill="1" applyBorder="1" applyAlignment="1">
      <alignment horizontal="center" vertical="center"/>
    </xf>
    <xf numFmtId="2" fontId="15" fillId="9" borderId="2" xfId="1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15" fillId="12" borderId="14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 wrapText="1"/>
    </xf>
    <xf numFmtId="2" fontId="15" fillId="0" borderId="19" xfId="0" applyNumberFormat="1" applyFont="1" applyFill="1" applyBorder="1" applyAlignment="1">
      <alignment horizontal="center" vertical="center"/>
    </xf>
    <xf numFmtId="2" fontId="15" fillId="11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15" fillId="0" borderId="19" xfId="1" applyNumberFormat="1" applyFont="1" applyFill="1" applyBorder="1" applyAlignment="1">
      <alignment horizontal="center" vertical="center"/>
    </xf>
    <xf numFmtId="2" fontId="15" fillId="9" borderId="19" xfId="1" applyNumberFormat="1" applyFont="1" applyFill="1" applyBorder="1" applyAlignment="1">
      <alignment horizontal="center" vertical="center"/>
    </xf>
    <xf numFmtId="2" fontId="15" fillId="9" borderId="20" xfId="1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11" borderId="21" xfId="0" applyNumberFormat="1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15" fillId="0" borderId="21" xfId="1" applyNumberFormat="1" applyFont="1" applyFill="1" applyBorder="1" applyAlignment="1">
      <alignment horizontal="center" vertical="center"/>
    </xf>
    <xf numFmtId="2" fontId="15" fillId="9" borderId="21" xfId="1" applyNumberFormat="1" applyFont="1" applyFill="1" applyBorder="1" applyAlignment="1">
      <alignment horizontal="center" vertical="center"/>
    </xf>
    <xf numFmtId="2" fontId="15" fillId="9" borderId="22" xfId="1" applyNumberFormat="1" applyFont="1" applyFill="1" applyBorder="1" applyAlignment="1">
      <alignment horizontal="center" vertical="center"/>
    </xf>
    <xf numFmtId="2" fontId="15" fillId="9" borderId="23" xfId="1" applyNumberFormat="1" applyFont="1" applyFill="1" applyBorder="1" applyAlignment="1">
      <alignment horizontal="center" vertical="center"/>
    </xf>
    <xf numFmtId="2" fontId="15" fillId="9" borderId="24" xfId="1" applyNumberFormat="1" applyFont="1" applyFill="1" applyBorder="1" applyAlignment="1">
      <alignment horizontal="center" vertical="center"/>
    </xf>
    <xf numFmtId="0" fontId="10" fillId="0" borderId="14" xfId="0" quotePrefix="1" applyFont="1" applyFill="1" applyBorder="1" applyAlignment="1">
      <alignment horizontal="left" vertical="center" wrapText="1"/>
    </xf>
    <xf numFmtId="2" fontId="15" fillId="9" borderId="25" xfId="1" applyNumberFormat="1" applyFont="1" applyFill="1" applyBorder="1" applyAlignment="1">
      <alignment horizontal="center" vertical="center"/>
    </xf>
    <xf numFmtId="166" fontId="11" fillId="0" borderId="14" xfId="0" quotePrefix="1" applyNumberFormat="1" applyFont="1" applyFill="1" applyBorder="1" applyAlignment="1">
      <alignment horizontal="left" wrapText="1"/>
    </xf>
    <xf numFmtId="166" fontId="11" fillId="0" borderId="14" xfId="0" applyNumberFormat="1" applyFont="1" applyFill="1" applyBorder="1" applyAlignment="1">
      <alignment horizontal="left" wrapText="1"/>
    </xf>
    <xf numFmtId="166" fontId="11" fillId="0" borderId="15" xfId="0" applyNumberFormat="1" applyFont="1" applyFill="1" applyBorder="1" applyAlignment="1">
      <alignment horizontal="left" wrapText="1"/>
    </xf>
    <xf numFmtId="2" fontId="15" fillId="12" borderId="19" xfId="0" applyNumberFormat="1" applyFont="1" applyFill="1" applyBorder="1" applyAlignment="1">
      <alignment horizontal="center" vertical="center"/>
    </xf>
    <xf numFmtId="2" fontId="15" fillId="12" borderId="19" xfId="1" applyNumberFormat="1" applyFont="1" applyFill="1" applyBorder="1" applyAlignment="1">
      <alignment horizontal="center" vertical="center"/>
    </xf>
    <xf numFmtId="2" fontId="2" fillId="0" borderId="19" xfId="1" applyNumberFormat="1" applyFont="1" applyFill="1" applyBorder="1" applyAlignment="1">
      <alignment horizontal="center" vertical="center"/>
    </xf>
    <xf numFmtId="2" fontId="15" fillId="9" borderId="0" xfId="1" applyNumberFormat="1" applyFont="1" applyFill="1" applyBorder="1" applyAlignment="1">
      <alignment horizontal="center" vertical="center"/>
    </xf>
    <xf numFmtId="1" fontId="11" fillId="0" borderId="14" xfId="0" quotePrefix="1" applyNumberFormat="1" applyFont="1" applyFill="1" applyBorder="1" applyAlignment="1">
      <alignment horizontal="left" wrapText="1"/>
    </xf>
    <xf numFmtId="2" fontId="15" fillId="12" borderId="21" xfId="0" applyNumberFormat="1" applyFont="1" applyFill="1" applyBorder="1" applyAlignment="1">
      <alignment horizontal="center" vertical="center"/>
    </xf>
    <xf numFmtId="2" fontId="2" fillId="0" borderId="21" xfId="1" applyNumberFormat="1" applyFont="1" applyFill="1" applyBorder="1" applyAlignment="1">
      <alignment horizontal="center" vertical="center"/>
    </xf>
    <xf numFmtId="2" fontId="15" fillId="12" borderId="21" xfId="1" applyNumberFormat="1" applyFont="1" applyFill="1" applyBorder="1" applyAlignment="1">
      <alignment horizontal="center" vertical="center"/>
    </xf>
    <xf numFmtId="2" fontId="15" fillId="11" borderId="21" xfId="1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2" fillId="12" borderId="21" xfId="0" applyNumberFormat="1" applyFont="1" applyFill="1" applyBorder="1" applyAlignment="1">
      <alignment horizontal="center" vertical="center"/>
    </xf>
    <xf numFmtId="2" fontId="15" fillId="0" borderId="17" xfId="1" applyNumberFormat="1" applyFont="1" applyFill="1" applyBorder="1" applyAlignment="1">
      <alignment horizontal="center" vertical="center"/>
    </xf>
    <xf numFmtId="2" fontId="15" fillId="0" borderId="22" xfId="1" applyNumberFormat="1" applyFont="1" applyFill="1" applyBorder="1" applyAlignment="1">
      <alignment horizontal="center" vertical="center"/>
    </xf>
    <xf numFmtId="2" fontId="15" fillId="0" borderId="0" xfId="1" applyNumberFormat="1" applyFont="1" applyFill="1" applyBorder="1" applyAlignment="1">
      <alignment horizontal="center" vertical="center"/>
    </xf>
    <xf numFmtId="2" fontId="16" fillId="11" borderId="14" xfId="2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2" fontId="15" fillId="0" borderId="26" xfId="1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2" fontId="15" fillId="9" borderId="27" xfId="1" applyNumberFormat="1" applyFont="1" applyFill="1" applyBorder="1" applyAlignment="1">
      <alignment horizontal="center" vertical="center"/>
    </xf>
    <xf numFmtId="2" fontId="12" fillId="12" borderId="14" xfId="0" applyNumberFormat="1" applyFont="1" applyFill="1" applyBorder="1" applyAlignment="1">
      <alignment horizontal="center" vertical="center" wrapText="1"/>
    </xf>
    <xf numFmtId="2" fontId="15" fillId="0" borderId="14" xfId="3" applyNumberFormat="1" applyFont="1" applyFill="1" applyBorder="1" applyAlignment="1">
      <alignment horizontal="center" vertical="center" wrapText="1"/>
    </xf>
    <xf numFmtId="2" fontId="17" fillId="12" borderId="14" xfId="2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2" fontId="15" fillId="11" borderId="22" xfId="0" applyNumberFormat="1" applyFont="1" applyFill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2" fontId="15" fillId="9" borderId="29" xfId="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/>
    <xf numFmtId="2" fontId="17" fillId="0" borderId="0" xfId="0" applyNumberFormat="1" applyFont="1" applyFill="1" applyBorder="1"/>
    <xf numFmtId="2" fontId="20" fillId="13" borderId="14" xfId="4" applyNumberFormat="1" applyFont="1" applyFill="1" applyBorder="1" applyAlignment="1">
      <alignment horizontal="left" vertical="center" wrapText="1"/>
    </xf>
    <xf numFmtId="2" fontId="20" fillId="13" borderId="14" xfId="4" applyNumberFormat="1" applyFont="1" applyFill="1" applyBorder="1" applyAlignment="1">
      <alignment horizontal="center" vertical="center" wrapText="1"/>
    </xf>
    <xf numFmtId="2" fontId="21" fillId="14" borderId="30" xfId="4" applyNumberFormat="1" applyFont="1" applyFill="1" applyBorder="1" applyAlignment="1">
      <alignment horizontal="center" vertical="center" wrapText="1"/>
    </xf>
    <xf numFmtId="2" fontId="12" fillId="14" borderId="14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65" fontId="5" fillId="2" borderId="2" xfId="1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165" fontId="6" fillId="3" borderId="5" xfId="1" applyNumberFormat="1" applyFont="1" applyFill="1" applyBorder="1" applyAlignment="1">
      <alignment horizontal="center" vertical="center" wrapText="1"/>
    </xf>
    <xf numFmtId="165" fontId="6" fillId="3" borderId="6" xfId="1" applyNumberFormat="1" applyFont="1" applyFill="1" applyBorder="1" applyAlignment="1">
      <alignment horizontal="center" vertical="center" wrapText="1"/>
    </xf>
    <xf numFmtId="165" fontId="6" fillId="3" borderId="7" xfId="1" applyNumberFormat="1" applyFont="1" applyFill="1" applyBorder="1" applyAlignment="1">
      <alignment horizontal="center" vertical="center" wrapText="1"/>
    </xf>
    <xf numFmtId="165" fontId="6" fillId="3" borderId="12" xfId="1" applyNumberFormat="1" applyFont="1" applyFill="1" applyBorder="1" applyAlignment="1">
      <alignment horizontal="center" vertical="center" wrapText="1"/>
    </xf>
    <xf numFmtId="165" fontId="6" fillId="3" borderId="9" xfId="1" applyNumberFormat="1" applyFont="1" applyFill="1" applyBorder="1" applyAlignment="1">
      <alignment horizontal="center" vertical="center" wrapText="1"/>
    </xf>
    <xf numFmtId="165" fontId="6" fillId="3" borderId="13" xfId="1" applyNumberFormat="1" applyFont="1" applyFill="1" applyBorder="1" applyAlignment="1">
      <alignment horizontal="center" vertical="center" wrapText="1"/>
    </xf>
    <xf numFmtId="165" fontId="6" fillId="3" borderId="8" xfId="1" applyNumberFormat="1" applyFont="1" applyFill="1" applyBorder="1" applyAlignment="1">
      <alignment horizontal="center" vertical="center" wrapText="1"/>
    </xf>
    <xf numFmtId="165" fontId="6" fillId="3" borderId="10" xfId="1" applyNumberFormat="1" applyFont="1" applyFill="1" applyBorder="1" applyAlignment="1">
      <alignment horizontal="center" vertical="center" wrapText="1"/>
    </xf>
  </cellXfs>
  <cellStyles count="5">
    <cellStyle name="Coma" xfId="1" builtinId="3"/>
    <cellStyle name="Normal" xfId="0" builtinId="0"/>
    <cellStyle name="Normal 2" xfId="2"/>
    <cellStyle name="Normal 3" xfId="3"/>
    <cellStyle name="Normal_200920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rdi\ED\Encarrec_docent\ED%2023-24%20Escola%20de%20Doctorat%20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RÒNIMS"/>
      <sheetName val="Acreditació"/>
      <sheetName val="model"/>
      <sheetName val="Punts coordinador"/>
      <sheetName val="PUNTS PER PROGRAMA"/>
      <sheetName val="Quadre 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19.407456870256183</v>
          </cell>
          <cell r="C5">
            <v>11.021445098434537</v>
          </cell>
        </row>
        <row r="6">
          <cell r="B6">
            <v>35.309004497210019</v>
          </cell>
          <cell r="C6">
            <v>6.8583686577478957</v>
          </cell>
        </row>
        <row r="7">
          <cell r="B7">
            <v>164.26362961745531</v>
          </cell>
          <cell r="C7">
            <v>13.645454190392385</v>
          </cell>
        </row>
        <row r="8">
          <cell r="B8">
            <v>10.244663098059821</v>
          </cell>
          <cell r="C8">
            <v>5.5391927946347277</v>
          </cell>
        </row>
        <row r="9">
          <cell r="B9">
            <v>160.99513683513015</v>
          </cell>
          <cell r="C9">
            <v>18.473428254480538</v>
          </cell>
        </row>
        <row r="10">
          <cell r="B10">
            <v>5.1410481775513075</v>
          </cell>
          <cell r="C10">
            <v>5.2705814830290159</v>
          </cell>
        </row>
        <row r="11">
          <cell r="B11">
            <v>9.639465332908701</v>
          </cell>
          <cell r="C11">
            <v>5.5073402806794052</v>
          </cell>
        </row>
        <row r="12">
          <cell r="B12">
            <v>68.544631404758292</v>
          </cell>
          <cell r="C12">
            <v>8.6076121791978046</v>
          </cell>
        </row>
        <row r="13">
          <cell r="B13">
            <v>32.559971791158276</v>
          </cell>
          <cell r="C13">
            <v>6.7136827258504361</v>
          </cell>
        </row>
        <row r="14">
          <cell r="B14">
            <v>73.377752217508345</v>
          </cell>
          <cell r="C14">
            <v>8.8619869588162281</v>
          </cell>
        </row>
        <row r="15">
          <cell r="B15">
            <v>51.027580791455868</v>
          </cell>
          <cell r="C15">
            <v>7.6856621469187303</v>
          </cell>
        </row>
        <row r="22">
          <cell r="B22">
            <v>77.522722310659105</v>
          </cell>
          <cell r="C22">
            <v>9.0801432795083734</v>
          </cell>
        </row>
        <row r="23">
          <cell r="B23">
            <v>75.565932269112679</v>
          </cell>
          <cell r="C23">
            <v>8.977154329953299</v>
          </cell>
        </row>
        <row r="24">
          <cell r="B24">
            <v>133.91680766328597</v>
          </cell>
          <cell r="C24">
            <v>17.048253034909788</v>
          </cell>
        </row>
        <row r="25">
          <cell r="B25">
            <v>94.996930855815265</v>
          </cell>
          <cell r="C25">
            <v>14.99983846609554</v>
          </cell>
        </row>
        <row r="26">
          <cell r="B26">
            <v>69.536532387514598</v>
          </cell>
          <cell r="C26">
            <v>8.6598174940797161</v>
          </cell>
        </row>
        <row r="27">
          <cell r="B27">
            <v>97.956380594481175</v>
          </cell>
          <cell r="C27">
            <v>10.155598978656904</v>
          </cell>
        </row>
        <row r="28">
          <cell r="B28">
            <v>72.373587692745176</v>
          </cell>
          <cell r="C28">
            <v>8.8091361943550091</v>
          </cell>
        </row>
        <row r="29">
          <cell r="B29">
            <v>58.501229632332588</v>
          </cell>
          <cell r="C29">
            <v>8.0790120859122414</v>
          </cell>
        </row>
        <row r="30">
          <cell r="B30">
            <v>2.6990502932144365</v>
          </cell>
          <cell r="C30">
            <v>0.14205527859023351</v>
          </cell>
        </row>
        <row r="31">
          <cell r="B31">
            <v>58.166997237689522</v>
          </cell>
          <cell r="C31">
            <v>13.061420907246816</v>
          </cell>
        </row>
        <row r="32">
          <cell r="B32">
            <v>29.177590511010987</v>
          </cell>
          <cell r="C32">
            <v>6.5356626584742621</v>
          </cell>
        </row>
        <row r="33">
          <cell r="B33">
            <v>27.451055164716671</v>
          </cell>
          <cell r="C33">
            <v>6.4447923770903515</v>
          </cell>
        </row>
        <row r="34">
          <cell r="B34">
            <v>30.278631662369889</v>
          </cell>
          <cell r="C34">
            <v>11.593612192756311</v>
          </cell>
        </row>
        <row r="35">
          <cell r="B35">
            <v>45.755328780206632</v>
          </cell>
          <cell r="C35">
            <v>7.4081751989582436</v>
          </cell>
        </row>
        <row r="36">
          <cell r="B36">
            <v>49.652778824642354</v>
          </cell>
          <cell r="C36">
            <v>7.613304148665387</v>
          </cell>
        </row>
        <row r="37">
          <cell r="B37">
            <v>22.941927492322712</v>
          </cell>
          <cell r="C37">
            <v>6.2074698680169851</v>
          </cell>
        </row>
        <row r="38">
          <cell r="B38">
            <v>23.568492738961776</v>
          </cell>
          <cell r="C38">
            <v>6.240446986261146</v>
          </cell>
        </row>
        <row r="39">
          <cell r="B39">
            <v>37.782441319221569</v>
          </cell>
          <cell r="C39">
            <v>6.9885495431169247</v>
          </cell>
        </row>
        <row r="40">
          <cell r="B40">
            <v>21.977980959031836</v>
          </cell>
          <cell r="C40">
            <v>6.1567358399490439</v>
          </cell>
        </row>
        <row r="42">
          <cell r="B42">
            <v>201.29931583802582</v>
          </cell>
          <cell r="C42">
            <v>15.594700833580307</v>
          </cell>
        </row>
        <row r="43">
          <cell r="B43">
            <v>28.480100220555784</v>
          </cell>
          <cell r="C43">
            <v>11.498952643187147</v>
          </cell>
        </row>
        <row r="44">
          <cell r="B44">
            <v>84.045427185927309</v>
          </cell>
          <cell r="C44">
            <v>14.423443536101438</v>
          </cell>
        </row>
        <row r="45">
          <cell r="B45">
            <v>63.703477704230806</v>
          </cell>
          <cell r="C45">
            <v>8.3528146160121484</v>
          </cell>
        </row>
        <row r="46">
          <cell r="B46">
            <v>26.026556398853497</v>
          </cell>
          <cell r="C46">
            <v>6.3698187578343948</v>
          </cell>
        </row>
        <row r="47">
          <cell r="B47">
            <v>49.215254203698663</v>
          </cell>
          <cell r="C47">
            <v>7.5902765370367717</v>
          </cell>
        </row>
        <row r="48">
          <cell r="B48">
            <v>39.995748243793678</v>
          </cell>
          <cell r="C48">
            <v>7.1050393812522987</v>
          </cell>
        </row>
        <row r="49">
          <cell r="B49">
            <v>11.236628343918344</v>
          </cell>
          <cell r="C49">
            <v>5.5914014917851764</v>
          </cell>
        </row>
        <row r="50">
          <cell r="B50">
            <v>10.667674968418964</v>
          </cell>
          <cell r="C50">
            <v>5.5614565772852087</v>
          </cell>
        </row>
        <row r="51">
          <cell r="B51">
            <v>131.55725794672935</v>
          </cell>
          <cell r="C51">
            <v>11.924066207722598</v>
          </cell>
        </row>
        <row r="52">
          <cell r="B52">
            <v>41.766710814755676</v>
          </cell>
          <cell r="C52">
            <v>7.1982479376187207</v>
          </cell>
        </row>
        <row r="53">
          <cell r="B53">
            <v>61.542157487250755</v>
          </cell>
          <cell r="C53">
            <v>8.2390609203816183</v>
          </cell>
        </row>
        <row r="54">
          <cell r="B54">
            <v>99.059561707143985</v>
          </cell>
          <cell r="C54">
            <v>15.213661142481264</v>
          </cell>
        </row>
        <row r="55">
          <cell r="B55">
            <v>32.299264953867834</v>
          </cell>
          <cell r="C55">
            <v>6.6999613133614648</v>
          </cell>
        </row>
        <row r="56">
          <cell r="B56">
            <v>42.595287123221397</v>
          </cell>
          <cell r="C56">
            <v>12.241857217011653</v>
          </cell>
        </row>
        <row r="57">
          <cell r="B57">
            <v>4.9268378368200034</v>
          </cell>
          <cell r="C57">
            <v>5.2593072545694737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7"/>
  <sheetViews>
    <sheetView tabSelected="1" topLeftCell="ER4" zoomScale="86" zoomScaleNormal="86" workbookViewId="0">
      <selection activeCell="FE26" sqref="FE26"/>
    </sheetView>
  </sheetViews>
  <sheetFormatPr defaultRowHeight="14.4" x14ac:dyDescent="0.3"/>
  <sheetData>
    <row r="1" spans="1:167" ht="21" x14ac:dyDescent="0.3">
      <c r="A1" s="1"/>
      <c r="B1" s="2"/>
      <c r="C1" s="2"/>
      <c r="D1" s="92" t="s">
        <v>0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3"/>
      <c r="FD1" s="3"/>
      <c r="FE1" s="2"/>
      <c r="FF1" s="2"/>
      <c r="FG1" s="2"/>
      <c r="FH1" s="2"/>
      <c r="FI1" s="2"/>
      <c r="FJ1" s="2"/>
      <c r="FK1" s="2"/>
    </row>
    <row r="2" spans="1:167" ht="40.799999999999997" x14ac:dyDescent="0.3">
      <c r="A2" s="93" t="s">
        <v>1</v>
      </c>
      <c r="B2" s="94"/>
      <c r="C2" s="95"/>
      <c r="D2" s="96" t="s">
        <v>2</v>
      </c>
      <c r="E2" s="97"/>
      <c r="F2" s="98"/>
      <c r="G2" s="98" t="s">
        <v>3</v>
      </c>
      <c r="H2" s="98"/>
      <c r="I2" s="98"/>
      <c r="J2" s="98" t="s">
        <v>4</v>
      </c>
      <c r="K2" s="98"/>
      <c r="L2" s="98"/>
      <c r="M2" s="98" t="s">
        <v>5</v>
      </c>
      <c r="N2" s="98"/>
      <c r="O2" s="98"/>
      <c r="P2" s="98" t="s">
        <v>6</v>
      </c>
      <c r="Q2" s="98"/>
      <c r="R2" s="98"/>
      <c r="S2" s="98" t="s">
        <v>7</v>
      </c>
      <c r="T2" s="98"/>
      <c r="U2" s="98"/>
      <c r="V2" s="98" t="s">
        <v>8</v>
      </c>
      <c r="W2" s="98"/>
      <c r="X2" s="98"/>
      <c r="Y2" s="98" t="s">
        <v>9</v>
      </c>
      <c r="Z2" s="98"/>
      <c r="AA2" s="98"/>
      <c r="AB2" s="98" t="s">
        <v>10</v>
      </c>
      <c r="AC2" s="98"/>
      <c r="AD2" s="98"/>
      <c r="AE2" s="98" t="s">
        <v>11</v>
      </c>
      <c r="AF2" s="98"/>
      <c r="AG2" s="98"/>
      <c r="AH2" s="98" t="s">
        <v>12</v>
      </c>
      <c r="AI2" s="98"/>
      <c r="AJ2" s="98"/>
      <c r="AK2" s="98" t="s">
        <v>13</v>
      </c>
      <c r="AL2" s="98"/>
      <c r="AM2" s="98"/>
      <c r="AN2" s="98" t="s">
        <v>14</v>
      </c>
      <c r="AO2" s="98"/>
      <c r="AP2" s="98"/>
      <c r="AQ2" s="98" t="s">
        <v>15</v>
      </c>
      <c r="AR2" s="98"/>
      <c r="AS2" s="98"/>
      <c r="AT2" s="98" t="s">
        <v>16</v>
      </c>
      <c r="AU2" s="98"/>
      <c r="AV2" s="98"/>
      <c r="AW2" s="98" t="s">
        <v>17</v>
      </c>
      <c r="AX2" s="98"/>
      <c r="AY2" s="98"/>
      <c r="AZ2" s="98" t="s">
        <v>18</v>
      </c>
      <c r="BA2" s="98"/>
      <c r="BB2" s="98"/>
      <c r="BC2" s="98" t="s">
        <v>19</v>
      </c>
      <c r="BD2" s="98"/>
      <c r="BE2" s="98"/>
      <c r="BF2" s="98" t="s">
        <v>20</v>
      </c>
      <c r="BG2" s="98"/>
      <c r="BH2" s="98"/>
      <c r="BI2" s="98" t="s">
        <v>21</v>
      </c>
      <c r="BJ2" s="98"/>
      <c r="BK2" s="98"/>
      <c r="BL2" s="98" t="s">
        <v>22</v>
      </c>
      <c r="BM2" s="98"/>
      <c r="BN2" s="98"/>
      <c r="BO2" s="98" t="s">
        <v>23</v>
      </c>
      <c r="BP2" s="98"/>
      <c r="BQ2" s="98"/>
      <c r="BR2" s="98" t="s">
        <v>24</v>
      </c>
      <c r="BS2" s="98"/>
      <c r="BT2" s="98"/>
      <c r="BU2" s="98" t="s">
        <v>25</v>
      </c>
      <c r="BV2" s="98"/>
      <c r="BW2" s="98"/>
      <c r="BX2" s="98" t="s">
        <v>26</v>
      </c>
      <c r="BY2" s="98"/>
      <c r="BZ2" s="98"/>
      <c r="CA2" s="98" t="s">
        <v>27</v>
      </c>
      <c r="CB2" s="98"/>
      <c r="CC2" s="98"/>
      <c r="CD2" s="98" t="s">
        <v>28</v>
      </c>
      <c r="CE2" s="98"/>
      <c r="CF2" s="98"/>
      <c r="CG2" s="98" t="s">
        <v>29</v>
      </c>
      <c r="CH2" s="98"/>
      <c r="CI2" s="98"/>
      <c r="CJ2" s="98" t="s">
        <v>30</v>
      </c>
      <c r="CK2" s="98"/>
      <c r="CL2" s="98"/>
      <c r="CM2" s="98" t="s">
        <v>31</v>
      </c>
      <c r="CN2" s="98"/>
      <c r="CO2" s="98"/>
      <c r="CP2" s="98" t="s">
        <v>32</v>
      </c>
      <c r="CQ2" s="98"/>
      <c r="CR2" s="98"/>
      <c r="CS2" s="98" t="s">
        <v>33</v>
      </c>
      <c r="CT2" s="98"/>
      <c r="CU2" s="98"/>
      <c r="CV2" s="98" t="s">
        <v>34</v>
      </c>
      <c r="CW2" s="98"/>
      <c r="CX2" s="98"/>
      <c r="CY2" s="98" t="s">
        <v>35</v>
      </c>
      <c r="CZ2" s="98"/>
      <c r="DA2" s="98"/>
      <c r="DB2" s="98" t="s">
        <v>36</v>
      </c>
      <c r="DC2" s="98"/>
      <c r="DD2" s="98"/>
      <c r="DE2" s="98" t="s">
        <v>37</v>
      </c>
      <c r="DF2" s="98"/>
      <c r="DG2" s="98"/>
      <c r="DH2" s="98" t="s">
        <v>38</v>
      </c>
      <c r="DI2" s="98"/>
      <c r="DJ2" s="98"/>
      <c r="DK2" s="98" t="s">
        <v>39</v>
      </c>
      <c r="DL2" s="98"/>
      <c r="DM2" s="98"/>
      <c r="DN2" s="98" t="s">
        <v>40</v>
      </c>
      <c r="DO2" s="98"/>
      <c r="DP2" s="98"/>
      <c r="DQ2" s="98" t="s">
        <v>41</v>
      </c>
      <c r="DR2" s="98"/>
      <c r="DS2" s="98"/>
      <c r="DT2" s="98" t="s">
        <v>42</v>
      </c>
      <c r="DU2" s="98"/>
      <c r="DV2" s="98"/>
      <c r="DW2" s="98" t="s">
        <v>43</v>
      </c>
      <c r="DX2" s="98"/>
      <c r="DY2" s="98"/>
      <c r="DZ2" s="98" t="s">
        <v>44</v>
      </c>
      <c r="EA2" s="98"/>
      <c r="EB2" s="98"/>
      <c r="EC2" s="98" t="s">
        <v>45</v>
      </c>
      <c r="ED2" s="98"/>
      <c r="EE2" s="98"/>
      <c r="EF2" s="98" t="s">
        <v>46</v>
      </c>
      <c r="EG2" s="98"/>
      <c r="EH2" s="98"/>
      <c r="EI2" s="102" t="s">
        <v>47</v>
      </c>
      <c r="EJ2" s="100"/>
      <c r="EK2" s="103"/>
      <c r="EL2" s="4" t="s">
        <v>48</v>
      </c>
      <c r="EM2" s="99" t="s">
        <v>49</v>
      </c>
      <c r="EN2" s="100"/>
      <c r="EO2" s="101"/>
      <c r="EP2" s="99" t="s">
        <v>50</v>
      </c>
      <c r="EQ2" s="100"/>
      <c r="ER2" s="101"/>
      <c r="ES2" s="99" t="s">
        <v>51</v>
      </c>
      <c r="ET2" s="100"/>
      <c r="EU2" s="101"/>
      <c r="EV2" s="99" t="s">
        <v>52</v>
      </c>
      <c r="EW2" s="100"/>
      <c r="EX2" s="101"/>
      <c r="EY2" s="99" t="s">
        <v>53</v>
      </c>
      <c r="EZ2" s="100"/>
      <c r="FA2" s="101"/>
      <c r="FB2" s="99" t="s">
        <v>54</v>
      </c>
      <c r="FC2" s="100"/>
      <c r="FD2" s="101"/>
      <c r="FE2" s="5" t="s">
        <v>55</v>
      </c>
      <c r="FF2" s="6"/>
      <c r="FG2" s="7" t="s">
        <v>56</v>
      </c>
      <c r="FH2" s="7" t="s">
        <v>57</v>
      </c>
      <c r="FI2" s="7" t="s">
        <v>58</v>
      </c>
      <c r="FJ2" s="6"/>
      <c r="FK2" s="6"/>
    </row>
    <row r="3" spans="1:167" x14ac:dyDescent="0.3">
      <c r="A3" s="8" t="s">
        <v>59</v>
      </c>
      <c r="B3" s="8" t="s">
        <v>60</v>
      </c>
      <c r="C3" s="8" t="s">
        <v>61</v>
      </c>
      <c r="D3" s="9" t="s">
        <v>62</v>
      </c>
      <c r="E3" s="10" t="s">
        <v>63</v>
      </c>
      <c r="F3" s="11" t="s">
        <v>64</v>
      </c>
      <c r="G3" s="9" t="s">
        <v>62</v>
      </c>
      <c r="H3" s="10" t="s">
        <v>63</v>
      </c>
      <c r="I3" s="11" t="s">
        <v>64</v>
      </c>
      <c r="J3" s="9" t="s">
        <v>62</v>
      </c>
      <c r="K3" s="10" t="s">
        <v>63</v>
      </c>
      <c r="L3" s="11" t="s">
        <v>64</v>
      </c>
      <c r="M3" s="9" t="s">
        <v>62</v>
      </c>
      <c r="N3" s="10" t="s">
        <v>63</v>
      </c>
      <c r="O3" s="12" t="s">
        <v>64</v>
      </c>
      <c r="P3" s="13" t="s">
        <v>62</v>
      </c>
      <c r="Q3" s="10" t="s">
        <v>63</v>
      </c>
      <c r="R3" s="14" t="s">
        <v>64</v>
      </c>
      <c r="S3" s="13" t="s">
        <v>62</v>
      </c>
      <c r="T3" s="10" t="s">
        <v>63</v>
      </c>
      <c r="U3" s="14" t="s">
        <v>64</v>
      </c>
      <c r="V3" s="13" t="s">
        <v>62</v>
      </c>
      <c r="W3" s="10" t="s">
        <v>63</v>
      </c>
      <c r="X3" s="14" t="s">
        <v>64</v>
      </c>
      <c r="Y3" s="13" t="s">
        <v>62</v>
      </c>
      <c r="Z3" s="10" t="s">
        <v>63</v>
      </c>
      <c r="AA3" s="14" t="s">
        <v>64</v>
      </c>
      <c r="AB3" s="13" t="s">
        <v>62</v>
      </c>
      <c r="AC3" s="10" t="s">
        <v>63</v>
      </c>
      <c r="AD3" s="14" t="s">
        <v>64</v>
      </c>
      <c r="AE3" s="13" t="s">
        <v>62</v>
      </c>
      <c r="AF3" s="10" t="s">
        <v>63</v>
      </c>
      <c r="AG3" s="14" t="s">
        <v>64</v>
      </c>
      <c r="AH3" s="13" t="s">
        <v>62</v>
      </c>
      <c r="AI3" s="10" t="s">
        <v>63</v>
      </c>
      <c r="AJ3" s="14" t="s">
        <v>64</v>
      </c>
      <c r="AK3" s="15" t="s">
        <v>62</v>
      </c>
      <c r="AL3" s="10" t="s">
        <v>63</v>
      </c>
      <c r="AM3" s="14" t="s">
        <v>64</v>
      </c>
      <c r="AN3" s="13" t="s">
        <v>62</v>
      </c>
      <c r="AO3" s="10" t="s">
        <v>63</v>
      </c>
      <c r="AP3" s="14" t="s">
        <v>64</v>
      </c>
      <c r="AQ3" s="13" t="s">
        <v>62</v>
      </c>
      <c r="AR3" s="10" t="s">
        <v>63</v>
      </c>
      <c r="AS3" s="14" t="s">
        <v>64</v>
      </c>
      <c r="AT3" s="13" t="s">
        <v>62</v>
      </c>
      <c r="AU3" s="10" t="s">
        <v>63</v>
      </c>
      <c r="AV3" s="14" t="s">
        <v>64</v>
      </c>
      <c r="AW3" s="13" t="s">
        <v>62</v>
      </c>
      <c r="AX3" s="10" t="s">
        <v>63</v>
      </c>
      <c r="AY3" s="14" t="s">
        <v>64</v>
      </c>
      <c r="AZ3" s="13" t="s">
        <v>62</v>
      </c>
      <c r="BA3" s="10" t="s">
        <v>63</v>
      </c>
      <c r="BB3" s="14" t="s">
        <v>64</v>
      </c>
      <c r="BC3" s="13" t="s">
        <v>62</v>
      </c>
      <c r="BD3" s="10" t="s">
        <v>63</v>
      </c>
      <c r="BE3" s="14" t="s">
        <v>64</v>
      </c>
      <c r="BF3" s="13" t="s">
        <v>62</v>
      </c>
      <c r="BG3" s="10" t="s">
        <v>63</v>
      </c>
      <c r="BH3" s="14" t="s">
        <v>64</v>
      </c>
      <c r="BI3" s="13" t="s">
        <v>62</v>
      </c>
      <c r="BJ3" s="10" t="s">
        <v>63</v>
      </c>
      <c r="BK3" s="14" t="s">
        <v>64</v>
      </c>
      <c r="BL3" s="13" t="s">
        <v>62</v>
      </c>
      <c r="BM3" s="10" t="s">
        <v>63</v>
      </c>
      <c r="BN3" s="14" t="s">
        <v>64</v>
      </c>
      <c r="BO3" s="13" t="s">
        <v>62</v>
      </c>
      <c r="BP3" s="10" t="s">
        <v>63</v>
      </c>
      <c r="BQ3" s="14" t="s">
        <v>64</v>
      </c>
      <c r="BR3" s="13" t="s">
        <v>62</v>
      </c>
      <c r="BS3" s="10" t="s">
        <v>63</v>
      </c>
      <c r="BT3" s="14" t="s">
        <v>64</v>
      </c>
      <c r="BU3" s="13" t="s">
        <v>62</v>
      </c>
      <c r="BV3" s="10" t="s">
        <v>63</v>
      </c>
      <c r="BW3" s="14" t="s">
        <v>64</v>
      </c>
      <c r="BX3" s="13" t="s">
        <v>62</v>
      </c>
      <c r="BY3" s="10" t="s">
        <v>63</v>
      </c>
      <c r="BZ3" s="14" t="s">
        <v>64</v>
      </c>
      <c r="CA3" s="13" t="s">
        <v>62</v>
      </c>
      <c r="CB3" s="10" t="s">
        <v>63</v>
      </c>
      <c r="CC3" s="14" t="s">
        <v>64</v>
      </c>
      <c r="CD3" s="13" t="s">
        <v>62</v>
      </c>
      <c r="CE3" s="10" t="s">
        <v>63</v>
      </c>
      <c r="CF3" s="14" t="s">
        <v>64</v>
      </c>
      <c r="CG3" s="13" t="s">
        <v>62</v>
      </c>
      <c r="CH3" s="10" t="s">
        <v>63</v>
      </c>
      <c r="CI3" s="14" t="s">
        <v>64</v>
      </c>
      <c r="CJ3" s="13" t="s">
        <v>62</v>
      </c>
      <c r="CK3" s="10" t="s">
        <v>63</v>
      </c>
      <c r="CL3" s="14" t="s">
        <v>64</v>
      </c>
      <c r="CM3" s="13" t="s">
        <v>62</v>
      </c>
      <c r="CN3" s="10" t="s">
        <v>63</v>
      </c>
      <c r="CO3" s="14" t="s">
        <v>64</v>
      </c>
      <c r="CP3" s="13" t="s">
        <v>62</v>
      </c>
      <c r="CQ3" s="10" t="s">
        <v>63</v>
      </c>
      <c r="CR3" s="14" t="s">
        <v>64</v>
      </c>
      <c r="CS3" s="13" t="s">
        <v>62</v>
      </c>
      <c r="CT3" s="10" t="s">
        <v>63</v>
      </c>
      <c r="CU3" s="14" t="s">
        <v>64</v>
      </c>
      <c r="CV3" s="13" t="s">
        <v>62</v>
      </c>
      <c r="CW3" s="10" t="s">
        <v>63</v>
      </c>
      <c r="CX3" s="14" t="s">
        <v>64</v>
      </c>
      <c r="CY3" s="13" t="s">
        <v>62</v>
      </c>
      <c r="CZ3" s="10" t="s">
        <v>63</v>
      </c>
      <c r="DA3" s="14" t="s">
        <v>64</v>
      </c>
      <c r="DB3" s="13" t="s">
        <v>62</v>
      </c>
      <c r="DC3" s="10" t="s">
        <v>63</v>
      </c>
      <c r="DD3" s="14" t="s">
        <v>64</v>
      </c>
      <c r="DE3" s="13" t="s">
        <v>62</v>
      </c>
      <c r="DF3" s="10" t="s">
        <v>63</v>
      </c>
      <c r="DG3" s="14" t="s">
        <v>64</v>
      </c>
      <c r="DH3" s="13" t="s">
        <v>62</v>
      </c>
      <c r="DI3" s="10" t="s">
        <v>63</v>
      </c>
      <c r="DJ3" s="14" t="s">
        <v>64</v>
      </c>
      <c r="DK3" s="13" t="s">
        <v>62</v>
      </c>
      <c r="DL3" s="10" t="s">
        <v>63</v>
      </c>
      <c r="DM3" s="14" t="s">
        <v>64</v>
      </c>
      <c r="DN3" s="13" t="s">
        <v>62</v>
      </c>
      <c r="DO3" s="10" t="s">
        <v>63</v>
      </c>
      <c r="DP3" s="14" t="s">
        <v>64</v>
      </c>
      <c r="DQ3" s="13" t="s">
        <v>62</v>
      </c>
      <c r="DR3" s="10" t="s">
        <v>63</v>
      </c>
      <c r="DS3" s="14" t="s">
        <v>64</v>
      </c>
      <c r="DT3" s="13" t="s">
        <v>62</v>
      </c>
      <c r="DU3" s="10" t="s">
        <v>63</v>
      </c>
      <c r="DV3" s="14" t="s">
        <v>64</v>
      </c>
      <c r="DW3" s="13" t="s">
        <v>62</v>
      </c>
      <c r="DX3" s="10" t="s">
        <v>63</v>
      </c>
      <c r="DY3" s="14" t="s">
        <v>64</v>
      </c>
      <c r="DZ3" s="13" t="s">
        <v>62</v>
      </c>
      <c r="EA3" s="10" t="s">
        <v>63</v>
      </c>
      <c r="EB3" s="14" t="s">
        <v>64</v>
      </c>
      <c r="EC3" s="13" t="s">
        <v>62</v>
      </c>
      <c r="ED3" s="10" t="s">
        <v>63</v>
      </c>
      <c r="EE3" s="14" t="s">
        <v>64</v>
      </c>
      <c r="EF3" s="13" t="s">
        <v>62</v>
      </c>
      <c r="EG3" s="10" t="s">
        <v>63</v>
      </c>
      <c r="EH3" s="14" t="s">
        <v>64</v>
      </c>
      <c r="EI3" s="13" t="s">
        <v>62</v>
      </c>
      <c r="EJ3" s="16" t="s">
        <v>65</v>
      </c>
      <c r="EK3" s="14" t="s">
        <v>64</v>
      </c>
      <c r="EL3" s="14" t="s">
        <v>64</v>
      </c>
      <c r="EM3" s="13"/>
      <c r="EN3" s="10" t="s">
        <v>63</v>
      </c>
      <c r="EO3" s="14" t="s">
        <v>64</v>
      </c>
      <c r="EP3" s="13" t="s">
        <v>62</v>
      </c>
      <c r="EQ3" s="10" t="s">
        <v>63</v>
      </c>
      <c r="ER3" s="14" t="s">
        <v>64</v>
      </c>
      <c r="ES3" s="13" t="s">
        <v>62</v>
      </c>
      <c r="ET3" s="10" t="s">
        <v>63</v>
      </c>
      <c r="EU3" s="14" t="s">
        <v>64</v>
      </c>
      <c r="EV3" s="13" t="s">
        <v>62</v>
      </c>
      <c r="EW3" s="10" t="s">
        <v>63</v>
      </c>
      <c r="EX3" s="14" t="s">
        <v>64</v>
      </c>
      <c r="EY3" s="13" t="s">
        <v>62</v>
      </c>
      <c r="EZ3" s="10" t="s">
        <v>63</v>
      </c>
      <c r="FA3" s="14" t="s">
        <v>64</v>
      </c>
      <c r="FB3" s="13" t="s">
        <v>62</v>
      </c>
      <c r="FC3" s="10" t="s">
        <v>63</v>
      </c>
      <c r="FD3" s="14" t="s">
        <v>64</v>
      </c>
      <c r="FE3" s="17"/>
      <c r="FF3" s="2"/>
      <c r="FG3" s="18"/>
      <c r="FH3" s="18"/>
      <c r="FI3" s="18"/>
      <c r="FJ3" s="2"/>
      <c r="FK3" s="2"/>
    </row>
    <row r="4" spans="1:167" x14ac:dyDescent="0.3">
      <c r="A4" s="19">
        <v>210</v>
      </c>
      <c r="B4" s="19" t="s">
        <v>66</v>
      </c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4"/>
      <c r="FA4" s="24"/>
      <c r="FB4" s="23"/>
      <c r="FC4" s="23"/>
      <c r="FD4" s="23"/>
      <c r="FE4" s="25">
        <f t="shared" ref="FE4:FE52" si="0">SUM(D4:FD4)</f>
        <v>0</v>
      </c>
      <c r="FF4" s="26"/>
      <c r="FG4" s="27">
        <f>+D4+G4+J4+M4+P4+S4+V4+Y4+AB4+AE4+AH4+AK4+AN4+AQ4+AT4+AW4+AZ4+BC4+BF4+BI4+BL4+BO4+BR4+BU4+BX4+CA4+CD4+CG4+CJ4+CM4+CP4+CS4+CV4+CY4+DB4+DE4+DH4+DK4+DN4+DQ4+DT4+DW4+DZ4+EC4+EF4+EM4+EP4+ES4+EV4+EY4+FB4+EI4</f>
        <v>0</v>
      </c>
      <c r="FH4" s="27">
        <f>E4+H4+K4+N4+Q4+T4+W4+Z4+AC4+AF4+AI4+AL4+AO4+AR4+AU4+AX4+BA4+BD4+BG4+BJ4+BM4+BP4+BS4+BV4+BY4+CB4+CE4+CH4+CK4+CN4+CQ4+CT4+CW4+CZ4+DC4+DF4+DI4+DL4+DO4+DR4+DU4+DX4+EA4+ED4+EG4+EN4+EQ4+ET4+EW4+EZ4+FC4+EJ4</f>
        <v>0</v>
      </c>
      <c r="FI4" s="27">
        <f>+F4+I4+L4+O4+R4+U4+X4+AA4+AD4+AG4+AJ4+AM4+AP4+AS4+AV4+AY4+BB4+BE4+BH4+BK4+BN4+BQ4+BT4+BW4+BZ4+CC4+CF4+CI4+CL4+CO4+CR4+CU4+CX4+DA4+DD4+DG4+DJ4+DM4+DP4+DS4+DV4+DY4+EB4+EE4+EH4+EL4+EO4+ER4+EU4+EX4+FA4+FD4+EK4</f>
        <v>0</v>
      </c>
      <c r="FJ4" s="19">
        <v>210</v>
      </c>
      <c r="FK4" s="19" t="s">
        <v>66</v>
      </c>
    </row>
    <row r="5" spans="1:167" x14ac:dyDescent="0.3">
      <c r="A5" s="19">
        <v>220</v>
      </c>
      <c r="B5" s="19" t="s">
        <v>67</v>
      </c>
      <c r="C5" s="20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30"/>
      <c r="Q5" s="30"/>
      <c r="R5" s="30"/>
      <c r="S5" s="30"/>
      <c r="T5" s="30"/>
      <c r="U5" s="30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1"/>
      <c r="AL5" s="29"/>
      <c r="AM5" s="29"/>
      <c r="AN5" s="30"/>
      <c r="AO5" s="30"/>
      <c r="AP5" s="30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4"/>
      <c r="FA5" s="34"/>
      <c r="FB5" s="33"/>
      <c r="FC5" s="33"/>
      <c r="FD5" s="33"/>
      <c r="FE5" s="25">
        <f t="shared" si="0"/>
        <v>0</v>
      </c>
      <c r="FF5" s="35"/>
      <c r="FG5" s="27">
        <f t="shared" ref="FG5:FG53" si="1">+D5+G5+J5+M5+P5+S5+V5+Y5+AB5+AE5+AH5+AK5+AN5+AQ5+AT5+AW5+AZ5+BC5+BF5+BI5+BL5+BO5+BR5+BU5+BX5+CA5+CD5+CG5+CJ5+CM5+CP5+CS5+CV5+CY5+DB5+DE5+DH5+DK5+DN5+DQ5+DT5+DW5+DZ5+EC5+EF5+EM5+EP5+ES5+EV5+EY5+FB5+EI5</f>
        <v>0</v>
      </c>
      <c r="FH5" s="27">
        <f t="shared" ref="FH5:FH53" si="2">E5+H5+K5+N5+Q5+T5+W5+Z5+AC5+AF5+AI5+AL5+AO5+AR5+AU5+AX5+BA5+BD5+BG5+BJ5+BM5+BP5+BS5+BV5+BY5+CB5+CE5+CH5+CK5+CN5+CQ5+CT5+CW5+CZ5+DC5+DF5+DI5+DL5+DO5+DR5+DU5+DX5+EA5+ED5+EG5+EN5+EQ5+ET5+EW5+EZ5+FC5+EJ5</f>
        <v>0</v>
      </c>
      <c r="FI5" s="27">
        <f t="shared" ref="FI5:FI53" si="3">+F5+I5+L5+O5+R5+U5+X5+AA5+AD5+AG5+AJ5+AM5+AP5+AS5+AV5+AY5+BB5+BE5+BH5+BK5+BN5+BQ5+BT5+BW5+BZ5+CC5+CF5+CI5+CL5+CO5+CR5+CU5+CX5+DA5+DD5+DG5+DJ5+DM5+DP5+DS5+DV5+DY5+EB5+EE5+EH5+EL5+EO5+ER5+EU5+EX5+FA5+FD5+EK5</f>
        <v>0</v>
      </c>
      <c r="FJ5" s="19">
        <v>220</v>
      </c>
      <c r="FK5" s="19" t="s">
        <v>67</v>
      </c>
    </row>
    <row r="6" spans="1:167" x14ac:dyDescent="0.3">
      <c r="A6" s="19">
        <v>230</v>
      </c>
      <c r="B6" s="19" t="s">
        <v>68</v>
      </c>
      <c r="C6" s="20"/>
      <c r="D6" s="28"/>
      <c r="E6" s="28"/>
      <c r="F6" s="28"/>
      <c r="G6" s="29"/>
      <c r="H6" s="29"/>
      <c r="I6" s="29"/>
      <c r="J6" s="29"/>
      <c r="K6" s="29"/>
      <c r="L6" s="29"/>
      <c r="M6" s="29"/>
      <c r="N6" s="29"/>
      <c r="O6" s="29"/>
      <c r="P6" s="30"/>
      <c r="Q6" s="30"/>
      <c r="R6" s="30"/>
      <c r="S6" s="30"/>
      <c r="T6" s="30"/>
      <c r="U6" s="30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1"/>
      <c r="AL6" s="29"/>
      <c r="AM6" s="29"/>
      <c r="AN6" s="30"/>
      <c r="AO6" s="30"/>
      <c r="AP6" s="30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4"/>
      <c r="FA6" s="34"/>
      <c r="FB6" s="33"/>
      <c r="FC6" s="33"/>
      <c r="FD6" s="33"/>
      <c r="FE6" s="25">
        <f t="shared" si="0"/>
        <v>0</v>
      </c>
      <c r="FF6" s="35"/>
      <c r="FG6" s="27">
        <f t="shared" si="1"/>
        <v>0</v>
      </c>
      <c r="FH6" s="27">
        <f t="shared" si="2"/>
        <v>0</v>
      </c>
      <c r="FI6" s="27">
        <f t="shared" si="3"/>
        <v>0</v>
      </c>
      <c r="FJ6" s="19">
        <v>230</v>
      </c>
      <c r="FK6" s="19" t="s">
        <v>68</v>
      </c>
    </row>
    <row r="7" spans="1:167" x14ac:dyDescent="0.3">
      <c r="A7" s="19">
        <v>270</v>
      </c>
      <c r="B7" s="19" t="s">
        <v>69</v>
      </c>
      <c r="C7" s="20"/>
      <c r="D7" s="28"/>
      <c r="E7" s="28"/>
      <c r="F7" s="28"/>
      <c r="G7" s="29"/>
      <c r="H7" s="29"/>
      <c r="I7" s="29"/>
      <c r="J7" s="29"/>
      <c r="K7" s="29"/>
      <c r="L7" s="29"/>
      <c r="M7" s="29"/>
      <c r="N7" s="29"/>
      <c r="O7" s="29"/>
      <c r="P7" s="30"/>
      <c r="Q7" s="30"/>
      <c r="R7" s="30"/>
      <c r="S7" s="30"/>
      <c r="T7" s="30"/>
      <c r="U7" s="30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1"/>
      <c r="AL7" s="29"/>
      <c r="AM7" s="29"/>
      <c r="AN7" s="30"/>
      <c r="AO7" s="30"/>
      <c r="AP7" s="30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4"/>
      <c r="FA7" s="34"/>
      <c r="FB7" s="33"/>
      <c r="FC7" s="33"/>
      <c r="FD7" s="33"/>
      <c r="FE7" s="25">
        <f t="shared" si="0"/>
        <v>0</v>
      </c>
      <c r="FF7" s="35"/>
      <c r="FG7" s="27">
        <f t="shared" si="1"/>
        <v>0</v>
      </c>
      <c r="FH7" s="27">
        <f t="shared" si="2"/>
        <v>0</v>
      </c>
      <c r="FI7" s="27">
        <f t="shared" si="3"/>
        <v>0</v>
      </c>
      <c r="FJ7" s="19">
        <v>270</v>
      </c>
      <c r="FK7" s="19" t="s">
        <v>69</v>
      </c>
    </row>
    <row r="8" spans="1:167" x14ac:dyDescent="0.3">
      <c r="A8" s="19">
        <v>340</v>
      </c>
      <c r="B8" s="19" t="s">
        <v>70</v>
      </c>
      <c r="C8" s="20"/>
      <c r="D8" s="28"/>
      <c r="E8" s="28"/>
      <c r="F8" s="28"/>
      <c r="G8" s="29"/>
      <c r="H8" s="29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0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1"/>
      <c r="AL8" s="29"/>
      <c r="AM8" s="29"/>
      <c r="AN8" s="30"/>
      <c r="AO8" s="30"/>
      <c r="AP8" s="30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4"/>
      <c r="FA8" s="34"/>
      <c r="FB8" s="33"/>
      <c r="FC8" s="33"/>
      <c r="FD8" s="33"/>
      <c r="FE8" s="25">
        <f t="shared" si="0"/>
        <v>0</v>
      </c>
      <c r="FF8" s="35"/>
      <c r="FG8" s="27">
        <f t="shared" si="1"/>
        <v>0</v>
      </c>
      <c r="FH8" s="27">
        <f t="shared" si="2"/>
        <v>0</v>
      </c>
      <c r="FI8" s="27">
        <f t="shared" si="3"/>
        <v>0</v>
      </c>
      <c r="FJ8" s="19">
        <v>340</v>
      </c>
      <c r="FK8" s="19" t="s">
        <v>70</v>
      </c>
    </row>
    <row r="9" spans="1:167" x14ac:dyDescent="0.3">
      <c r="A9" s="19">
        <v>410</v>
      </c>
      <c r="B9" s="19" t="s">
        <v>71</v>
      </c>
      <c r="C9" s="20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30"/>
      <c r="Q9" s="30"/>
      <c r="R9" s="30"/>
      <c r="S9" s="30"/>
      <c r="T9" s="30"/>
      <c r="U9" s="30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1"/>
      <c r="AL9" s="29"/>
      <c r="AM9" s="29"/>
      <c r="AN9" s="30"/>
      <c r="AO9" s="30"/>
      <c r="AP9" s="30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4"/>
      <c r="FA9" s="34"/>
      <c r="FB9" s="33"/>
      <c r="FC9" s="33"/>
      <c r="FD9" s="33"/>
      <c r="FE9" s="25">
        <f t="shared" si="0"/>
        <v>0</v>
      </c>
      <c r="FF9" s="35"/>
      <c r="FG9" s="27">
        <f t="shared" si="1"/>
        <v>0</v>
      </c>
      <c r="FH9" s="27">
        <f t="shared" si="2"/>
        <v>0</v>
      </c>
      <c r="FI9" s="27">
        <f t="shared" si="3"/>
        <v>0</v>
      </c>
      <c r="FJ9" s="19">
        <v>410</v>
      </c>
      <c r="FK9" s="19" t="s">
        <v>71</v>
      </c>
    </row>
    <row r="10" spans="1:167" x14ac:dyDescent="0.3">
      <c r="A10" s="19">
        <v>420</v>
      </c>
      <c r="B10" s="19" t="s">
        <v>72</v>
      </c>
      <c r="C10" s="20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0"/>
      <c r="R10" s="30"/>
      <c r="S10" s="30"/>
      <c r="T10" s="30"/>
      <c r="U10" s="30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1"/>
      <c r="AL10" s="29"/>
      <c r="AM10" s="29"/>
      <c r="AN10" s="30"/>
      <c r="AO10" s="30"/>
      <c r="AP10" s="30"/>
      <c r="AQ10" s="29"/>
      <c r="AR10" s="29"/>
      <c r="AS10" s="29"/>
      <c r="AT10" s="29"/>
      <c r="AU10" s="29"/>
      <c r="AV10" s="29"/>
      <c r="AW10" s="29">
        <f>0.01*'[1]PUNTS PER PROGRAMA'!B26*0.9</f>
        <v>0.62582879148763138</v>
      </c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>
        <f>0.015*'[1]PUNTS PER PROGRAMA'!B51*0.9</f>
        <v>1.7760229822808462</v>
      </c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4"/>
      <c r="FA10" s="34"/>
      <c r="FB10" s="33"/>
      <c r="FC10" s="33"/>
      <c r="FD10" s="33"/>
      <c r="FE10" s="25">
        <f t="shared" si="0"/>
        <v>2.4018517737684775</v>
      </c>
      <c r="FF10" s="35"/>
      <c r="FG10" s="27">
        <f t="shared" si="1"/>
        <v>2.4018517737684775</v>
      </c>
      <c r="FH10" s="27">
        <f t="shared" si="2"/>
        <v>0</v>
      </c>
      <c r="FI10" s="27">
        <f t="shared" si="3"/>
        <v>0</v>
      </c>
      <c r="FJ10" s="19">
        <v>420</v>
      </c>
      <c r="FK10" s="19" t="s">
        <v>72</v>
      </c>
    </row>
    <row r="11" spans="1:167" x14ac:dyDescent="0.3">
      <c r="A11" s="19">
        <v>440</v>
      </c>
      <c r="B11" s="19" t="s">
        <v>73</v>
      </c>
      <c r="C11" s="20"/>
      <c r="D11" s="28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30"/>
      <c r="R11" s="36">
        <f>'[1]PUNTS PER PROGRAMA'!C9</f>
        <v>18.473428254480538</v>
      </c>
      <c r="S11" s="30"/>
      <c r="T11" s="30"/>
      <c r="U11" s="30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1"/>
      <c r="AL11" s="29"/>
      <c r="AM11" s="29"/>
      <c r="AN11" s="30"/>
      <c r="AO11" s="30"/>
      <c r="AP11" s="30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4"/>
      <c r="FA11" s="34"/>
      <c r="FB11" s="33"/>
      <c r="FC11" s="33"/>
      <c r="FD11" s="33"/>
      <c r="FE11" s="25">
        <f t="shared" si="0"/>
        <v>18.473428254480538</v>
      </c>
      <c r="FF11" s="35"/>
      <c r="FG11" s="27">
        <f t="shared" si="1"/>
        <v>0</v>
      </c>
      <c r="FH11" s="27">
        <f t="shared" si="2"/>
        <v>0</v>
      </c>
      <c r="FI11" s="27">
        <f t="shared" si="3"/>
        <v>18.473428254480538</v>
      </c>
      <c r="FJ11" s="19">
        <v>440</v>
      </c>
      <c r="FK11" s="19" t="s">
        <v>73</v>
      </c>
    </row>
    <row r="12" spans="1:167" x14ac:dyDescent="0.3">
      <c r="A12" s="19">
        <v>460</v>
      </c>
      <c r="B12" s="19" t="s">
        <v>74</v>
      </c>
      <c r="C12" s="20"/>
      <c r="D12" s="28"/>
      <c r="E12" s="37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9"/>
      <c r="R12" s="39"/>
      <c r="S12" s="39"/>
      <c r="T12" s="39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40"/>
      <c r="AL12" s="38"/>
      <c r="AM12" s="38"/>
      <c r="AN12" s="39"/>
      <c r="AO12" s="39"/>
      <c r="AP12" s="39"/>
      <c r="AQ12" s="38">
        <f>0.04*'[1]PUNTS PER PROGRAMA'!B23*0.9</f>
        <v>2.7203735616880564</v>
      </c>
      <c r="AR12" s="38"/>
      <c r="AS12" s="38"/>
      <c r="AT12" s="38"/>
      <c r="AU12" s="38"/>
      <c r="AV12" s="38"/>
      <c r="AW12" s="38">
        <f>0.03*'[1]PUNTS PER PROGRAMA'!B26*0.9</f>
        <v>1.877486374462894</v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9"/>
      <c r="BX12" s="38"/>
      <c r="BY12" s="38"/>
      <c r="BZ12" s="38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3"/>
      <c r="FA12" s="43"/>
      <c r="FB12" s="42"/>
      <c r="FC12" s="42"/>
      <c r="FD12" s="42"/>
      <c r="FE12" s="25">
        <f t="shared" si="0"/>
        <v>4.5978599361509502</v>
      </c>
      <c r="FF12" s="35"/>
      <c r="FG12" s="27">
        <f t="shared" si="1"/>
        <v>4.5978599361509502</v>
      </c>
      <c r="FH12" s="27">
        <f t="shared" si="2"/>
        <v>0</v>
      </c>
      <c r="FI12" s="27">
        <f t="shared" si="3"/>
        <v>0</v>
      </c>
      <c r="FJ12" s="19">
        <v>460</v>
      </c>
      <c r="FK12" s="19" t="s">
        <v>74</v>
      </c>
    </row>
    <row r="13" spans="1:167" x14ac:dyDescent="0.3">
      <c r="A13" s="19">
        <v>480</v>
      </c>
      <c r="B13" s="19" t="s">
        <v>75</v>
      </c>
      <c r="C13" s="20"/>
      <c r="D13" s="28"/>
      <c r="E13" s="37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9"/>
      <c r="S13" s="39"/>
      <c r="T13" s="39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40"/>
      <c r="AL13" s="38"/>
      <c r="AM13" s="38"/>
      <c r="AN13" s="39"/>
      <c r="AO13" s="39"/>
      <c r="AP13" s="39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3"/>
      <c r="FA13" s="43"/>
      <c r="FB13" s="42"/>
      <c r="FC13" s="42"/>
      <c r="FD13" s="42"/>
      <c r="FE13" s="25">
        <f t="shared" si="0"/>
        <v>0</v>
      </c>
      <c r="FF13" s="35"/>
      <c r="FG13" s="27">
        <f t="shared" si="1"/>
        <v>0</v>
      </c>
      <c r="FH13" s="27">
        <f t="shared" si="2"/>
        <v>0</v>
      </c>
      <c r="FI13" s="27">
        <f t="shared" si="3"/>
        <v>0</v>
      </c>
      <c r="FJ13" s="19">
        <v>480</v>
      </c>
      <c r="FK13" s="19" t="s">
        <v>75</v>
      </c>
    </row>
    <row r="14" spans="1:167" x14ac:dyDescent="0.3">
      <c r="A14" s="19">
        <v>915</v>
      </c>
      <c r="B14" s="19" t="s">
        <v>76</v>
      </c>
      <c r="C14" s="20"/>
      <c r="D14" s="28"/>
      <c r="E14" s="28"/>
      <c r="F14" s="28"/>
      <c r="G14" s="29"/>
      <c r="H14" s="29"/>
      <c r="I14" s="29"/>
      <c r="J14" s="29"/>
      <c r="K14" s="29"/>
      <c r="L14" s="29"/>
      <c r="M14" s="29"/>
      <c r="N14" s="44"/>
      <c r="O14" s="44"/>
      <c r="P14" s="45"/>
      <c r="Q14" s="45"/>
      <c r="R14" s="45"/>
      <c r="S14" s="45"/>
      <c r="T14" s="45"/>
      <c r="U14" s="45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7"/>
      <c r="AL14" s="46"/>
      <c r="AM14" s="46"/>
      <c r="AN14" s="45"/>
      <c r="AO14" s="45"/>
      <c r="AP14" s="45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50"/>
      <c r="FA14" s="50"/>
      <c r="FB14" s="51"/>
      <c r="FC14" s="42"/>
      <c r="FD14" s="52"/>
      <c r="FE14" s="25">
        <f t="shared" si="0"/>
        <v>0</v>
      </c>
      <c r="FF14" s="35"/>
      <c r="FG14" s="27">
        <f t="shared" si="1"/>
        <v>0</v>
      </c>
      <c r="FH14" s="27">
        <f t="shared" si="2"/>
        <v>0</v>
      </c>
      <c r="FI14" s="27">
        <f t="shared" si="3"/>
        <v>0</v>
      </c>
      <c r="FJ14" s="19">
        <v>915</v>
      </c>
      <c r="FK14" s="19" t="s">
        <v>76</v>
      </c>
    </row>
    <row r="15" spans="1:167" x14ac:dyDescent="0.3">
      <c r="A15" s="53" t="s">
        <v>77</v>
      </c>
      <c r="B15" s="19" t="s">
        <v>78</v>
      </c>
      <c r="C15" s="20"/>
      <c r="D15" s="28"/>
      <c r="E15" s="28"/>
      <c r="F15" s="28"/>
      <c r="G15" s="29"/>
      <c r="H15" s="29"/>
      <c r="I15" s="29"/>
      <c r="J15" s="29"/>
      <c r="K15" s="29"/>
      <c r="L15" s="29"/>
      <c r="M15" s="29"/>
      <c r="N15" s="44"/>
      <c r="O15" s="44"/>
      <c r="P15" s="45"/>
      <c r="Q15" s="45"/>
      <c r="R15" s="45"/>
      <c r="S15" s="45"/>
      <c r="T15" s="45"/>
      <c r="U15" s="45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7"/>
      <c r="AL15" s="46"/>
      <c r="AM15" s="46"/>
      <c r="AN15" s="45"/>
      <c r="AO15" s="45"/>
      <c r="AP15" s="45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50"/>
      <c r="FA15" s="50"/>
      <c r="FB15" s="51"/>
      <c r="FC15" s="42"/>
      <c r="FD15" s="54"/>
      <c r="FE15" s="25">
        <f t="shared" si="0"/>
        <v>0</v>
      </c>
      <c r="FF15" s="35"/>
      <c r="FG15" s="27">
        <f t="shared" si="1"/>
        <v>0</v>
      </c>
      <c r="FH15" s="27">
        <f t="shared" si="2"/>
        <v>0</v>
      </c>
      <c r="FI15" s="27">
        <f t="shared" si="3"/>
        <v>0</v>
      </c>
      <c r="FJ15" s="53" t="s">
        <v>77</v>
      </c>
      <c r="FK15" s="19" t="s">
        <v>78</v>
      </c>
    </row>
    <row r="16" spans="1:167" x14ac:dyDescent="0.3">
      <c r="A16" s="55" t="s">
        <v>79</v>
      </c>
      <c r="B16" s="56" t="s">
        <v>5</v>
      </c>
      <c r="C16" s="57"/>
      <c r="D16" s="28"/>
      <c r="E16" s="37"/>
      <c r="F16" s="37"/>
      <c r="G16" s="38"/>
      <c r="H16" s="38"/>
      <c r="I16" s="38"/>
      <c r="J16" s="38"/>
      <c r="K16" s="38"/>
      <c r="L16" s="38"/>
      <c r="M16" s="38">
        <f>'[1]PUNTS PER PROGRAMA'!B7*0.9</f>
        <v>147.83726665570978</v>
      </c>
      <c r="N16" s="38">
        <f>'[1]PUNTS PER PROGRAMA'!B7*0.1</f>
        <v>16.426362961745532</v>
      </c>
      <c r="O16" s="58">
        <f>'[1]PUNTS PER PROGRAMA'!C7</f>
        <v>13.645454190392385</v>
      </c>
      <c r="P16" s="39"/>
      <c r="Q16" s="39"/>
      <c r="R16" s="39"/>
      <c r="S16" s="39"/>
      <c r="T16" s="39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>
        <f>0.1435*'[1]PUNTS PER PROGRAMA'!B13*0.9</f>
        <v>4.2051203568280915</v>
      </c>
      <c r="AF16" s="38"/>
      <c r="AG16" s="38"/>
      <c r="AH16" s="38"/>
      <c r="AI16" s="38"/>
      <c r="AJ16" s="38"/>
      <c r="AK16" s="40"/>
      <c r="AL16" s="38"/>
      <c r="AM16" s="38"/>
      <c r="AN16" s="39"/>
      <c r="AO16" s="39"/>
      <c r="AP16" s="39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>
        <f>0.02*'[1]PUNTS PER PROGRAMA'!B51*0.9</f>
        <v>2.3680306430411284</v>
      </c>
      <c r="DO16" s="41"/>
      <c r="DP16" s="41"/>
      <c r="DQ16" s="41"/>
      <c r="DR16" s="41"/>
      <c r="DS16" s="41"/>
      <c r="DT16" s="41"/>
      <c r="DU16" s="41"/>
      <c r="DV16" s="41"/>
      <c r="DW16" s="41">
        <f>0.005*'[1]PUNTS PER PROGRAMA'!B54*0.9</f>
        <v>0.44576802768214796</v>
      </c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>
        <f>'[1]PUNTS PER PROGRAMA'!B57*0.9*0.75</f>
        <v>3.3256155398535023</v>
      </c>
      <c r="EJ16" s="41">
        <f>'[1]PUNTS PER PROGRAMA'!B57*0.1*0.75</f>
        <v>0.36951283776150029</v>
      </c>
      <c r="EK16" s="48"/>
      <c r="EL16" s="59">
        <v>13.5</v>
      </c>
      <c r="EM16" s="42"/>
      <c r="EN16" s="42"/>
      <c r="EO16" s="42"/>
      <c r="EP16" s="42">
        <v>0</v>
      </c>
      <c r="EQ16" s="42">
        <v>0</v>
      </c>
      <c r="ER16" s="42">
        <v>0</v>
      </c>
      <c r="ES16" s="42"/>
      <c r="ET16" s="42"/>
      <c r="EU16" s="42"/>
      <c r="EV16" s="42"/>
      <c r="EW16" s="42"/>
      <c r="EX16" s="42"/>
      <c r="EY16" s="42"/>
      <c r="EZ16" s="43"/>
      <c r="FA16" s="43"/>
      <c r="FB16" s="42"/>
      <c r="FC16" s="42"/>
      <c r="FD16" s="33"/>
      <c r="FE16" s="25">
        <f t="shared" si="0"/>
        <v>202.12313121301409</v>
      </c>
      <c r="FF16" s="35"/>
      <c r="FG16" s="27">
        <f t="shared" si="1"/>
        <v>158.18180122311466</v>
      </c>
      <c r="FH16" s="27">
        <f t="shared" si="2"/>
        <v>16.795875799507034</v>
      </c>
      <c r="FI16" s="27">
        <f t="shared" si="3"/>
        <v>27.145454190392385</v>
      </c>
      <c r="FJ16" s="55" t="s">
        <v>79</v>
      </c>
      <c r="FK16" s="56" t="s">
        <v>5</v>
      </c>
    </row>
    <row r="17" spans="1:167" x14ac:dyDescent="0.3">
      <c r="A17" s="55" t="s">
        <v>80</v>
      </c>
      <c r="B17" s="56" t="s">
        <v>81</v>
      </c>
      <c r="C17" s="56" t="s">
        <v>81</v>
      </c>
      <c r="D17" s="28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9"/>
      <c r="R17" s="39"/>
      <c r="S17" s="39"/>
      <c r="T17" s="39"/>
      <c r="U17" s="39"/>
      <c r="V17" s="38">
        <f>'[1]PUNTS PER PROGRAMA'!B12*0.9</f>
        <v>61.690168264282462</v>
      </c>
      <c r="W17" s="38">
        <f>'[1]PUNTS PER PROGRAMA'!B12*0.1</f>
        <v>6.8544631404758292</v>
      </c>
      <c r="X17" s="58">
        <f>'[1]PUNTS PER PROGRAMA'!C12</f>
        <v>8.6076121791978046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40"/>
      <c r="AL17" s="38"/>
      <c r="AM17" s="38"/>
      <c r="AN17" s="39"/>
      <c r="AO17" s="39"/>
      <c r="AP17" s="39"/>
      <c r="AQ17" s="38">
        <f>0.25*'[1]PUNTS PER PROGRAMA'!B23*0.9</f>
        <v>17.002334760550355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>
        <f>0.02*'[1]PUNTS PER PROGRAMA'!B51*0.9</f>
        <v>2.3680306430411284</v>
      </c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60"/>
      <c r="EL17" s="41"/>
      <c r="EM17" s="42"/>
      <c r="EN17" s="42"/>
      <c r="EO17" s="42"/>
      <c r="EP17" s="42"/>
      <c r="EQ17" s="42"/>
      <c r="ER17" s="42"/>
      <c r="ES17" s="42"/>
      <c r="ET17" s="42"/>
      <c r="EU17" s="42"/>
      <c r="EV17" s="42">
        <v>0</v>
      </c>
      <c r="EW17" s="42">
        <v>0</v>
      </c>
      <c r="EX17" s="61">
        <v>0</v>
      </c>
      <c r="EY17" s="49"/>
      <c r="EZ17" s="43"/>
      <c r="FA17" s="43"/>
      <c r="FB17" s="42"/>
      <c r="FC17" s="42"/>
      <c r="FD17" s="42"/>
      <c r="FE17" s="25">
        <f t="shared" si="0"/>
        <v>96.522608987547571</v>
      </c>
      <c r="FF17" s="35"/>
      <c r="FG17" s="27">
        <f t="shared" si="1"/>
        <v>81.060533667873941</v>
      </c>
      <c r="FH17" s="27">
        <f t="shared" si="2"/>
        <v>6.8544631404758292</v>
      </c>
      <c r="FI17" s="27">
        <f t="shared" si="3"/>
        <v>8.6076121791978046</v>
      </c>
      <c r="FJ17" s="55" t="s">
        <v>80</v>
      </c>
      <c r="FK17" s="56" t="s">
        <v>81</v>
      </c>
    </row>
    <row r="18" spans="1:167" x14ac:dyDescent="0.3">
      <c r="A18" s="62">
        <v>702</v>
      </c>
      <c r="B18" s="56" t="s">
        <v>81</v>
      </c>
      <c r="C18" s="57" t="s">
        <v>82</v>
      </c>
      <c r="D18" s="28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39"/>
      <c r="R18" s="39"/>
      <c r="S18" s="39"/>
      <c r="T18" s="39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40"/>
      <c r="AL18" s="38"/>
      <c r="AM18" s="38"/>
      <c r="AN18" s="39"/>
      <c r="AO18" s="39"/>
      <c r="AP18" s="39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41"/>
      <c r="CB18" s="41"/>
      <c r="CC18" s="41"/>
      <c r="CD18" s="41"/>
      <c r="CE18" s="41"/>
      <c r="CF18" s="41"/>
      <c r="CG18" s="41"/>
      <c r="CH18" s="41"/>
      <c r="CI18" s="41"/>
      <c r="CJ18" s="41">
        <f>'[1]PUNTS PER PROGRAMA'!B38*0.67*0.9</f>
        <v>14.211801121593952</v>
      </c>
      <c r="CK18" s="41">
        <f>'[1]PUNTS PER PROGRAMA'!B38*0.1</f>
        <v>2.3568492738961777</v>
      </c>
      <c r="CL18" s="59">
        <f>'[1]PUNTS PER PROGRAMA'!C38</f>
        <v>6.240446986261146</v>
      </c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8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60"/>
      <c r="EL18" s="41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3"/>
      <c r="FA18" s="43"/>
      <c r="FB18" s="42"/>
      <c r="FC18" s="42"/>
      <c r="FD18" s="42"/>
      <c r="FE18" s="25">
        <f t="shared" si="0"/>
        <v>22.809097381751279</v>
      </c>
      <c r="FF18" s="35"/>
      <c r="FG18" s="27">
        <f t="shared" si="1"/>
        <v>14.211801121593952</v>
      </c>
      <c r="FH18" s="27">
        <f t="shared" si="2"/>
        <v>2.3568492738961777</v>
      </c>
      <c r="FI18" s="27">
        <f t="shared" si="3"/>
        <v>6.240446986261146</v>
      </c>
      <c r="FJ18" s="55">
        <v>702</v>
      </c>
      <c r="FK18" s="56" t="s">
        <v>81</v>
      </c>
    </row>
    <row r="19" spans="1:167" x14ac:dyDescent="0.3">
      <c r="A19" s="55" t="s">
        <v>83</v>
      </c>
      <c r="B19" s="56" t="s">
        <v>84</v>
      </c>
      <c r="C19" s="57"/>
      <c r="D19" s="28"/>
      <c r="E19" s="28"/>
      <c r="F19" s="28"/>
      <c r="G19" s="29"/>
      <c r="H19" s="29"/>
      <c r="I19" s="29"/>
      <c r="J19" s="29"/>
      <c r="K19" s="29"/>
      <c r="L19" s="29"/>
      <c r="M19" s="29"/>
      <c r="N19" s="44"/>
      <c r="O19" s="44"/>
      <c r="P19" s="45">
        <f>'[1]PUNTS PER PROGRAMA'!B9*0.9</f>
        <v>144.89562315161714</v>
      </c>
      <c r="Q19" s="30">
        <f>'[1]PUNTS PER PROGRAMA'!B9*0.1</f>
        <v>16.099513683513017</v>
      </c>
      <c r="R19" s="45"/>
      <c r="S19" s="45">
        <f>'[1]PUNTS PER PROGRAMA'!B10*0.9*0.64</f>
        <v>2.9612437502695532</v>
      </c>
      <c r="T19" s="45"/>
      <c r="U19" s="63">
        <f>'[1]PUNTS PER PROGRAMA'!$C$10</f>
        <v>5.2705814830290159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7"/>
      <c r="AL19" s="46"/>
      <c r="AM19" s="46"/>
      <c r="AN19" s="45"/>
      <c r="AO19" s="45"/>
      <c r="AP19" s="45"/>
      <c r="AQ19" s="46">
        <f>0.43*'[1]PUNTS PER PROGRAMA'!B23*0.9</f>
        <v>29.244015788146605</v>
      </c>
      <c r="AR19" s="46">
        <f>'[1]PUNTS PER PROGRAMA'!B23*0.1</f>
        <v>7.5565932269112679</v>
      </c>
      <c r="AS19" s="63">
        <f>'[1]PUNTS PER PROGRAMA'!C23</f>
        <v>8.977154329953299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>
        <f>0.02*'[1]PUNTS PER PROGRAMA'!B44*0.9</f>
        <v>1.5128176893466916</v>
      </c>
      <c r="CZ19" s="48"/>
      <c r="DA19" s="48"/>
      <c r="DB19" s="48"/>
      <c r="DC19" s="48"/>
      <c r="DD19" s="48"/>
      <c r="DE19" s="48">
        <f>0.03*'[1]PUNTS PER PROGRAMA'!B47*0.9</f>
        <v>1.328811863499864</v>
      </c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64"/>
      <c r="EL19" s="48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50"/>
      <c r="FA19" s="43"/>
      <c r="FB19" s="51"/>
      <c r="FC19" s="42"/>
      <c r="FD19" s="52"/>
      <c r="FE19" s="25">
        <f t="shared" si="0"/>
        <v>217.84635496628644</v>
      </c>
      <c r="FF19" s="35"/>
      <c r="FG19" s="27">
        <f t="shared" si="1"/>
        <v>179.94251224287984</v>
      </c>
      <c r="FH19" s="27">
        <f t="shared" si="2"/>
        <v>23.656106910424285</v>
      </c>
      <c r="FI19" s="27">
        <f t="shared" si="3"/>
        <v>14.247735812982315</v>
      </c>
      <c r="FJ19" s="55" t="s">
        <v>83</v>
      </c>
      <c r="FK19" s="56" t="s">
        <v>84</v>
      </c>
    </row>
    <row r="20" spans="1:167" x14ac:dyDescent="0.3">
      <c r="A20" s="55" t="s">
        <v>85</v>
      </c>
      <c r="B20" s="56" t="s">
        <v>21</v>
      </c>
      <c r="C20" s="57"/>
      <c r="D20" s="28"/>
      <c r="E20" s="28"/>
      <c r="F20" s="28"/>
      <c r="G20" s="29"/>
      <c r="H20" s="29"/>
      <c r="I20" s="29"/>
      <c r="J20" s="29"/>
      <c r="K20" s="29"/>
      <c r="L20" s="29"/>
      <c r="M20" s="29"/>
      <c r="N20" s="44"/>
      <c r="O20" s="44"/>
      <c r="P20" s="45"/>
      <c r="Q20" s="45"/>
      <c r="R20" s="45"/>
      <c r="S20" s="45"/>
      <c r="T20" s="45"/>
      <c r="U20" s="45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7"/>
      <c r="AL20" s="46"/>
      <c r="AM20" s="46"/>
      <c r="AN20" s="45"/>
      <c r="AO20" s="45"/>
      <c r="AP20" s="45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>
        <f>'[1]PUNTS PER PROGRAMA'!B28*0.9</f>
        <v>65.136228923470654</v>
      </c>
      <c r="BJ20" s="46">
        <f>'[1]PUNTS PER PROGRAMA'!B28*0.1</f>
        <v>7.2373587692745183</v>
      </c>
      <c r="BK20" s="63">
        <f>'[1]PUNTS PER PROGRAMA'!C28</f>
        <v>8.8091361943550091</v>
      </c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>
        <f>0.015*'[1]PUNTS PER PROGRAMA'!B47*0.9</f>
        <v>0.66440593174993201</v>
      </c>
      <c r="DF20" s="48"/>
      <c r="DG20" s="48"/>
      <c r="DH20" s="48"/>
      <c r="DI20" s="48"/>
      <c r="DJ20" s="48"/>
      <c r="DK20" s="48"/>
      <c r="DL20" s="48"/>
      <c r="DM20" s="48"/>
      <c r="DN20" s="48">
        <f>0.01*'[1]PUNTS PER PROGRAMA'!B51*0.9</f>
        <v>1.1840153215205642</v>
      </c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>
        <f>'[1]PUNTS PER PROGRAMA'!B50*0.9</f>
        <v>9.6009074715770684</v>
      </c>
      <c r="EG20" s="48">
        <f>'[1]PUNTS PER PROGRAMA'!B50*0.1</f>
        <v>1.0667674968418965</v>
      </c>
      <c r="EH20" s="65">
        <f>'[1]PUNTS PER PROGRAMA'!C50</f>
        <v>5.5614565772852087</v>
      </c>
      <c r="EI20" s="66"/>
      <c r="EJ20" s="66"/>
      <c r="EK20" s="64"/>
      <c r="EL20" s="48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50"/>
      <c r="FA20" s="50"/>
      <c r="FB20" s="51"/>
      <c r="FC20" s="42"/>
      <c r="FD20" s="54"/>
      <c r="FE20" s="25">
        <f t="shared" si="0"/>
        <v>99.260276686074846</v>
      </c>
      <c r="FF20" s="35"/>
      <c r="FG20" s="27">
        <f t="shared" si="1"/>
        <v>76.585557648318215</v>
      </c>
      <c r="FH20" s="27">
        <f t="shared" si="2"/>
        <v>8.3041262661164144</v>
      </c>
      <c r="FI20" s="27">
        <f t="shared" si="3"/>
        <v>14.370592771640219</v>
      </c>
      <c r="FJ20" s="55" t="s">
        <v>85</v>
      </c>
      <c r="FK20" s="56" t="s">
        <v>21</v>
      </c>
    </row>
    <row r="21" spans="1:167" x14ac:dyDescent="0.3">
      <c r="A21" s="55" t="s">
        <v>86</v>
      </c>
      <c r="B21" s="56" t="s">
        <v>22</v>
      </c>
      <c r="C21" s="57"/>
      <c r="D21" s="28"/>
      <c r="E21" s="28"/>
      <c r="F21" s="28"/>
      <c r="G21" s="29"/>
      <c r="H21" s="29"/>
      <c r="I21" s="29"/>
      <c r="J21" s="29"/>
      <c r="K21" s="29"/>
      <c r="L21" s="29"/>
      <c r="M21" s="29"/>
      <c r="N21" s="44"/>
      <c r="O21" s="44"/>
      <c r="P21" s="45"/>
      <c r="Q21" s="45"/>
      <c r="R21" s="45"/>
      <c r="S21" s="45"/>
      <c r="T21" s="45"/>
      <c r="U21" s="45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46"/>
      <c r="AM21" s="46"/>
      <c r="AN21" s="45"/>
      <c r="AO21" s="45"/>
      <c r="AP21" s="45"/>
      <c r="AQ21" s="46">
        <f>0.14*'[1]PUNTS PER PROGRAMA'!B23*0.9</f>
        <v>9.5213074659081993</v>
      </c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>
        <f>'[1]PUNTS PER PROGRAMA'!B29*0.9</f>
        <v>52.651106669099327</v>
      </c>
      <c r="BM21" s="46">
        <f>'[1]PUNTS PER PROGRAMA'!B29*0.1</f>
        <v>5.8501229632332592</v>
      </c>
      <c r="BN21" s="63">
        <f>'[1]PUNTS PER PROGRAMA'!C29</f>
        <v>8.0790120859122414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>
        <f>0.2*'[1]PUNTS PER PROGRAMA'!B42*0.9</f>
        <v>36.233876850844652</v>
      </c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64"/>
      <c r="EL21" s="48">
        <v>12</v>
      </c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50"/>
      <c r="FA21" s="50"/>
      <c r="FB21" s="51"/>
      <c r="FC21" s="42"/>
      <c r="FD21" s="54"/>
      <c r="FE21" s="25">
        <f t="shared" si="0"/>
        <v>124.33542603499768</v>
      </c>
      <c r="FF21" s="35"/>
      <c r="FG21" s="27">
        <f t="shared" si="1"/>
        <v>98.406290985852181</v>
      </c>
      <c r="FH21" s="27">
        <f t="shared" si="2"/>
        <v>5.8501229632332592</v>
      </c>
      <c r="FI21" s="27">
        <f t="shared" si="3"/>
        <v>20.07901208591224</v>
      </c>
      <c r="FJ21" s="55" t="s">
        <v>86</v>
      </c>
      <c r="FK21" s="56" t="s">
        <v>22</v>
      </c>
    </row>
    <row r="22" spans="1:167" x14ac:dyDescent="0.3">
      <c r="A22" s="55" t="s">
        <v>87</v>
      </c>
      <c r="B22" s="56" t="s">
        <v>88</v>
      </c>
      <c r="C22" s="57"/>
      <c r="D22" s="28"/>
      <c r="E22" s="28"/>
      <c r="F22" s="28"/>
      <c r="G22" s="29"/>
      <c r="H22" s="29"/>
      <c r="I22" s="29"/>
      <c r="J22" s="29"/>
      <c r="K22" s="29"/>
      <c r="L22" s="29"/>
      <c r="M22" s="29"/>
      <c r="N22" s="44"/>
      <c r="O22" s="44"/>
      <c r="P22" s="45"/>
      <c r="Q22" s="45"/>
      <c r="R22" s="45"/>
      <c r="S22" s="45"/>
      <c r="T22" s="45"/>
      <c r="U22" s="45"/>
      <c r="V22" s="46"/>
      <c r="W22" s="46"/>
      <c r="X22" s="46"/>
      <c r="Y22" s="46"/>
      <c r="Z22" s="46"/>
      <c r="AA22" s="46"/>
      <c r="AB22" s="46"/>
      <c r="AC22" s="46"/>
      <c r="AD22" s="46"/>
      <c r="AE22" s="38">
        <f>0.026*'[1]PUNTS PER PROGRAMA'!B13*0.9</f>
        <v>0.76190333991310366</v>
      </c>
      <c r="AF22" s="46"/>
      <c r="AG22" s="46"/>
      <c r="AH22" s="46"/>
      <c r="AI22" s="46"/>
      <c r="AJ22" s="46"/>
      <c r="AK22" s="47"/>
      <c r="AL22" s="46"/>
      <c r="AM22" s="46"/>
      <c r="AN22" s="45"/>
      <c r="AO22" s="45"/>
      <c r="AP22" s="45"/>
      <c r="AQ22" s="67">
        <f>0.04*'[1]PUNTS PER PROGRAMA'!B23*0.9</f>
        <v>2.7203735616880564</v>
      </c>
      <c r="AR22" s="67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7">
        <f>0.325*'[1]PUNTS PER PROGRAMA'!B31*0.9</f>
        <v>17.013846692024185</v>
      </c>
      <c r="BS22" s="47">
        <f>0.667*'[1]PUNTS PER PROGRAMA'!B31*0.1</f>
        <v>3.8797387157538914</v>
      </c>
      <c r="BT22" s="68">
        <f>'[1]PUNTS PER PROGRAMA'!C31</f>
        <v>13.061420907246816</v>
      </c>
      <c r="BU22" s="46"/>
      <c r="BV22" s="46"/>
      <c r="BW22" s="46"/>
      <c r="BX22" s="46"/>
      <c r="BY22" s="46"/>
      <c r="BZ22" s="46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>
        <f>0.24*'[1]PUNTS PER PROGRAMA'!B51*0.9</f>
        <v>28.416367716493539</v>
      </c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69"/>
      <c r="EJ22" s="48"/>
      <c r="EK22" s="64"/>
      <c r="EL22" s="48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50"/>
      <c r="FA22" s="50"/>
      <c r="FB22" s="51"/>
      <c r="FC22" s="42"/>
      <c r="FD22" s="54"/>
      <c r="FE22" s="25">
        <f t="shared" si="0"/>
        <v>65.853650933119596</v>
      </c>
      <c r="FF22" s="35"/>
      <c r="FG22" s="27">
        <f t="shared" si="1"/>
        <v>48.912491310118881</v>
      </c>
      <c r="FH22" s="27">
        <f t="shared" si="2"/>
        <v>3.8797387157538914</v>
      </c>
      <c r="FI22" s="27">
        <f t="shared" si="3"/>
        <v>13.061420907246816</v>
      </c>
      <c r="FJ22" s="55" t="s">
        <v>87</v>
      </c>
      <c r="FK22" s="56" t="s">
        <v>88</v>
      </c>
    </row>
    <row r="23" spans="1:167" x14ac:dyDescent="0.3">
      <c r="A23" s="55" t="s">
        <v>89</v>
      </c>
      <c r="B23" s="56" t="s">
        <v>90</v>
      </c>
      <c r="C23" s="57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44"/>
      <c r="O23" s="44"/>
      <c r="P23" s="45"/>
      <c r="Q23" s="45"/>
      <c r="R23" s="45"/>
      <c r="S23" s="45">
        <f>'[1]PUNTS PER PROGRAMA'!B10*0.9*0.31</f>
        <v>1.4343524415368147</v>
      </c>
      <c r="T23" s="45"/>
      <c r="U23" s="45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/>
      <c r="AL23" s="46"/>
      <c r="AM23" s="46"/>
      <c r="AN23" s="45"/>
      <c r="AO23" s="45"/>
      <c r="AP23" s="45"/>
      <c r="AQ23" s="46"/>
      <c r="AR23" s="46"/>
      <c r="AS23" s="46"/>
      <c r="AT23" s="46"/>
      <c r="AU23" s="46"/>
      <c r="AV23" s="46"/>
      <c r="AW23" s="46">
        <f>0.96*'[1]PUNTS PER PROGRAMA'!B26*0.9</f>
        <v>60.079563982812608</v>
      </c>
      <c r="AX23" s="46">
        <f>'[1]PUNTS PER PROGRAMA'!B26*0.1</f>
        <v>6.9536532387514605</v>
      </c>
      <c r="AY23" s="63">
        <f>'[1]PUNTS PER PROGRAMA'!C26</f>
        <v>8.6598174940797161</v>
      </c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7"/>
      <c r="BS23" s="47"/>
      <c r="BT23" s="47"/>
      <c r="BU23" s="46"/>
      <c r="BV23" s="46"/>
      <c r="BW23" s="46"/>
      <c r="BX23" s="46"/>
      <c r="BY23" s="46"/>
      <c r="BZ23" s="46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>
        <f>0.94*'[1]PUNTS PER PROGRAMA'!B47*0.9</f>
        <v>41.636105056329072</v>
      </c>
      <c r="DF23" s="48">
        <f>'[1]PUNTS PER PROGRAMA'!B47*0.1</f>
        <v>4.9215254203698668</v>
      </c>
      <c r="DG23" s="65">
        <f>'[1]PUNTS PER PROGRAMA'!C47</f>
        <v>7.5902765370367717</v>
      </c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70"/>
      <c r="EI23" s="32">
        <f>'[1]PUNTS PER PROGRAMA'!B57*0.9*0.25</f>
        <v>1.1085385132845007</v>
      </c>
      <c r="EJ23" s="71">
        <f>'[1]PUNTS PER PROGRAMA'!B57*0.1*0.25</f>
        <v>0.1231709459205001</v>
      </c>
      <c r="EK23" s="72"/>
      <c r="EL23" s="48">
        <v>3</v>
      </c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50"/>
      <c r="FA23" s="50"/>
      <c r="FB23" s="51"/>
      <c r="FC23" s="42"/>
      <c r="FD23" s="54"/>
      <c r="FE23" s="25">
        <f t="shared" si="0"/>
        <v>135.50700363012132</v>
      </c>
      <c r="FF23" s="35"/>
      <c r="FG23" s="27">
        <f t="shared" si="1"/>
        <v>104.258559993963</v>
      </c>
      <c r="FH23" s="27">
        <f t="shared" si="2"/>
        <v>11.998349605041827</v>
      </c>
      <c r="FI23" s="27">
        <f t="shared" si="3"/>
        <v>19.25009403111649</v>
      </c>
      <c r="FJ23" s="55" t="s">
        <v>89</v>
      </c>
      <c r="FK23" s="56" t="s">
        <v>90</v>
      </c>
    </row>
    <row r="24" spans="1:167" x14ac:dyDescent="0.3">
      <c r="A24" s="55" t="s">
        <v>91</v>
      </c>
      <c r="B24" s="56" t="s">
        <v>31</v>
      </c>
      <c r="C24" s="57"/>
      <c r="D24" s="28"/>
      <c r="E24" s="28"/>
      <c r="F24" s="28"/>
      <c r="G24" s="29"/>
      <c r="H24" s="29"/>
      <c r="I24" s="29"/>
      <c r="J24" s="29"/>
      <c r="K24" s="29"/>
      <c r="L24" s="29"/>
      <c r="M24" s="73"/>
      <c r="N24" s="74"/>
      <c r="O24" s="44"/>
      <c r="P24" s="45"/>
      <c r="Q24" s="45"/>
      <c r="R24" s="45"/>
      <c r="S24" s="45">
        <f>'[1]PUNTS PER PROGRAMA'!B10*0.9*0.05</f>
        <v>0.23134716798980884</v>
      </c>
      <c r="T24" s="45">
        <f>'[1]PUNTS PER PROGRAMA'!B10*0.1</f>
        <v>0.51410481775513073</v>
      </c>
      <c r="U24" s="45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7"/>
      <c r="AL24" s="46"/>
      <c r="AM24" s="46"/>
      <c r="AN24" s="45"/>
      <c r="AO24" s="45"/>
      <c r="AP24" s="45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7"/>
      <c r="BS24" s="47"/>
      <c r="BT24" s="47"/>
      <c r="BU24" s="46"/>
      <c r="BV24" s="46"/>
      <c r="BW24" s="46"/>
      <c r="BX24" s="46"/>
      <c r="BY24" s="46"/>
      <c r="BZ24" s="46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>
        <f>'[1]PUNTS PER PROGRAMA'!B39*0.9</f>
        <v>34.004197187299411</v>
      </c>
      <c r="CN24" s="48">
        <f>'[1]PUNTS PER PROGRAMA'!B39*0.1</f>
        <v>3.7782441319221571</v>
      </c>
      <c r="CO24" s="65">
        <f>'[1]PUNTS PER PROGRAMA'!C39</f>
        <v>6.9885495431169247</v>
      </c>
      <c r="CP24" s="48"/>
      <c r="CQ24" s="48"/>
      <c r="CR24" s="48"/>
      <c r="CS24" s="48"/>
      <c r="CT24" s="48"/>
      <c r="CU24" s="48"/>
      <c r="CV24" s="48"/>
      <c r="CW24" s="48"/>
      <c r="CX24" s="48"/>
      <c r="CY24" s="48">
        <f>0.03*'[1]PUNTS PER PROGRAMA'!B44*0.9</f>
        <v>2.2692265340200377</v>
      </c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75"/>
      <c r="EJ24" s="48"/>
      <c r="EK24" s="48"/>
      <c r="EL24" s="48">
        <v>13.5</v>
      </c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50"/>
      <c r="FA24" s="50"/>
      <c r="FB24" s="51"/>
      <c r="FC24" s="42"/>
      <c r="FD24" s="54"/>
      <c r="FE24" s="25">
        <f t="shared" si="0"/>
        <v>61.285669382103471</v>
      </c>
      <c r="FF24" s="35"/>
      <c r="FG24" s="27">
        <f t="shared" si="1"/>
        <v>36.504770889309256</v>
      </c>
      <c r="FH24" s="27">
        <f t="shared" si="2"/>
        <v>4.2923489496772875</v>
      </c>
      <c r="FI24" s="27">
        <f t="shared" si="3"/>
        <v>20.488549543116925</v>
      </c>
      <c r="FJ24" s="55" t="s">
        <v>91</v>
      </c>
      <c r="FK24" s="56" t="s">
        <v>31</v>
      </c>
    </row>
    <row r="25" spans="1:167" x14ac:dyDescent="0.3">
      <c r="A25" s="55" t="s">
        <v>92</v>
      </c>
      <c r="B25" s="56" t="s">
        <v>93</v>
      </c>
      <c r="C25" s="57" t="s">
        <v>93</v>
      </c>
      <c r="D25" s="28"/>
      <c r="E25" s="28"/>
      <c r="F25" s="28"/>
      <c r="G25" s="29"/>
      <c r="H25" s="29"/>
      <c r="I25" s="29"/>
      <c r="J25" s="29"/>
      <c r="K25" s="29"/>
      <c r="L25" s="29"/>
      <c r="M25" s="29"/>
      <c r="N25" s="44"/>
      <c r="O25" s="44"/>
      <c r="P25" s="45"/>
      <c r="Q25" s="45"/>
      <c r="R25" s="45"/>
      <c r="S25" s="45"/>
      <c r="T25" s="45"/>
      <c r="U25" s="45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7"/>
      <c r="AL25" s="46"/>
      <c r="AM25" s="46"/>
      <c r="AN25" s="45"/>
      <c r="AO25" s="45"/>
      <c r="AP25" s="45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7"/>
      <c r="BS25" s="47"/>
      <c r="BT25" s="47"/>
      <c r="BU25" s="46"/>
      <c r="BV25" s="46"/>
      <c r="BW25" s="46"/>
      <c r="BX25" s="46"/>
      <c r="BY25" s="46"/>
      <c r="BZ25" s="46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>
        <f>0.01*'[1]PUNTS PER PROGRAMA'!B51*0.9</f>
        <v>1.1840153215205642</v>
      </c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>
        <v>1.5</v>
      </c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50"/>
      <c r="FA25" s="50"/>
      <c r="FB25" s="51"/>
      <c r="FC25" s="42"/>
      <c r="FD25" s="54"/>
      <c r="FE25" s="25">
        <f t="shared" si="0"/>
        <v>2.6840153215205644</v>
      </c>
      <c r="FF25" s="35"/>
      <c r="FG25" s="27">
        <f t="shared" si="1"/>
        <v>1.1840153215205642</v>
      </c>
      <c r="FH25" s="27">
        <f t="shared" si="2"/>
        <v>0</v>
      </c>
      <c r="FI25" s="27">
        <f t="shared" si="3"/>
        <v>1.5</v>
      </c>
      <c r="FJ25" s="55" t="s">
        <v>92</v>
      </c>
      <c r="FK25" s="56" t="s">
        <v>93</v>
      </c>
    </row>
    <row r="26" spans="1:167" x14ac:dyDescent="0.3">
      <c r="A26" s="55">
        <v>717</v>
      </c>
      <c r="B26" s="56" t="s">
        <v>93</v>
      </c>
      <c r="C26" s="57" t="s">
        <v>94</v>
      </c>
      <c r="D26" s="28"/>
      <c r="E26" s="28"/>
      <c r="F26" s="28"/>
      <c r="G26" s="29"/>
      <c r="H26" s="29"/>
      <c r="I26" s="29"/>
      <c r="J26" s="29"/>
      <c r="K26" s="29"/>
      <c r="L26" s="29"/>
      <c r="M26" s="29"/>
      <c r="N26" s="44"/>
      <c r="O26" s="44"/>
      <c r="P26" s="45"/>
      <c r="Q26" s="45"/>
      <c r="R26" s="45"/>
      <c r="S26" s="45"/>
      <c r="T26" s="45"/>
      <c r="U26" s="45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/>
      <c r="AL26" s="46"/>
      <c r="AM26" s="46"/>
      <c r="AN26" s="45"/>
      <c r="AO26" s="45"/>
      <c r="AP26" s="45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7"/>
      <c r="BS26" s="47"/>
      <c r="BT26" s="47"/>
      <c r="BU26" s="46"/>
      <c r="BV26" s="46"/>
      <c r="BW26" s="46"/>
      <c r="BX26" s="46"/>
      <c r="BY26" s="46"/>
      <c r="BZ26" s="46"/>
      <c r="CA26" s="48"/>
      <c r="CB26" s="48"/>
      <c r="CC26" s="48"/>
      <c r="CD26" s="48"/>
      <c r="CE26" s="48"/>
      <c r="CF26" s="48"/>
      <c r="CG26" s="48"/>
      <c r="CH26" s="48"/>
      <c r="CI26" s="48"/>
      <c r="CJ26" s="48">
        <f>'[1]PUNTS PER PROGRAMA'!B38*0.33*0.9</f>
        <v>6.9998423434716477</v>
      </c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50"/>
      <c r="FA26" s="50"/>
      <c r="FB26" s="51"/>
      <c r="FC26" s="42"/>
      <c r="FD26" s="54"/>
      <c r="FE26" s="25">
        <f t="shared" si="0"/>
        <v>6.9998423434716477</v>
      </c>
      <c r="FF26" s="35"/>
      <c r="FG26" s="27">
        <f t="shared" si="1"/>
        <v>6.9998423434716477</v>
      </c>
      <c r="FH26" s="27">
        <f t="shared" si="2"/>
        <v>0</v>
      </c>
      <c r="FI26" s="27">
        <f t="shared" si="3"/>
        <v>0</v>
      </c>
      <c r="FJ26" s="55">
        <v>717</v>
      </c>
      <c r="FK26" s="56" t="s">
        <v>93</v>
      </c>
    </row>
    <row r="27" spans="1:167" x14ac:dyDescent="0.3">
      <c r="A27" s="55" t="s">
        <v>95</v>
      </c>
      <c r="B27" s="56" t="s">
        <v>96</v>
      </c>
      <c r="C27" s="57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44"/>
      <c r="O27" s="44"/>
      <c r="P27" s="45"/>
      <c r="Q27" s="45"/>
      <c r="R27" s="45"/>
      <c r="S27" s="45"/>
      <c r="T27" s="45"/>
      <c r="U27" s="45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7">
        <f>0.8*'[1]PUNTS PER PROGRAMA'!B15*0.9</f>
        <v>36.739858169848233</v>
      </c>
      <c r="AL27" s="46">
        <f>'[1]PUNTS PER PROGRAMA'!B15*0.1</f>
        <v>5.1027580791455875</v>
      </c>
      <c r="AM27" s="63">
        <f>'[1]PUNTS PER PROGRAMA'!C15</f>
        <v>7.6856621469187303</v>
      </c>
      <c r="AN27" s="45"/>
      <c r="AO27" s="45"/>
      <c r="AP27" s="45"/>
      <c r="AQ27" s="46">
        <f>0.1*'[1]PUNTS PER PROGRAMA'!B23*0.9</f>
        <v>6.8009339042201411</v>
      </c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7"/>
      <c r="BS27" s="47"/>
      <c r="BT27" s="47"/>
      <c r="BU27" s="46"/>
      <c r="BV27" s="46"/>
      <c r="BW27" s="46"/>
      <c r="BX27" s="46"/>
      <c r="BY27" s="46"/>
      <c r="BZ27" s="46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>
        <f>0.95*'[1]PUNTS PER PROGRAMA'!B44*0.9</f>
        <v>71.858840243967848</v>
      </c>
      <c r="CZ27" s="48">
        <f>'[1]PUNTS PER PROGRAMA'!B44*0.1</f>
        <v>8.4045427185927313</v>
      </c>
      <c r="DA27" s="65">
        <f>'[1]PUNTS PER PROGRAMA'!C44</f>
        <v>14.423443536101438</v>
      </c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50"/>
      <c r="FA27" s="50"/>
      <c r="FB27" s="51"/>
      <c r="FC27" s="42"/>
      <c r="FD27" s="54"/>
      <c r="FE27" s="25">
        <f t="shared" si="0"/>
        <v>151.01603879879471</v>
      </c>
      <c r="FF27" s="35"/>
      <c r="FG27" s="27">
        <f t="shared" si="1"/>
        <v>115.39963231803623</v>
      </c>
      <c r="FH27" s="27">
        <f t="shared" si="2"/>
        <v>13.507300797738319</v>
      </c>
      <c r="FI27" s="27">
        <f t="shared" si="3"/>
        <v>22.109105683020168</v>
      </c>
      <c r="FJ27" s="55" t="s">
        <v>95</v>
      </c>
      <c r="FK27" s="56" t="s">
        <v>96</v>
      </c>
    </row>
    <row r="28" spans="1:167" x14ac:dyDescent="0.3">
      <c r="A28" s="55" t="s">
        <v>97</v>
      </c>
      <c r="B28" s="56" t="s">
        <v>98</v>
      </c>
      <c r="C28" s="57"/>
      <c r="D28" s="28"/>
      <c r="E28" s="28"/>
      <c r="F28" s="28"/>
      <c r="G28" s="29"/>
      <c r="H28" s="29"/>
      <c r="I28" s="29"/>
      <c r="J28" s="29"/>
      <c r="K28" s="29"/>
      <c r="L28" s="29"/>
      <c r="M28" s="29"/>
      <c r="N28" s="44"/>
      <c r="O28" s="44"/>
      <c r="P28" s="45"/>
      <c r="Q28" s="45"/>
      <c r="R28" s="45"/>
      <c r="S28" s="45"/>
      <c r="T28" s="45"/>
      <c r="U28" s="45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7"/>
      <c r="AL28" s="46"/>
      <c r="AM28" s="46"/>
      <c r="AN28" s="45"/>
      <c r="AO28" s="45"/>
      <c r="AP28" s="45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7"/>
      <c r="BS28" s="47"/>
      <c r="BT28" s="47"/>
      <c r="BU28" s="46"/>
      <c r="BV28" s="46"/>
      <c r="BW28" s="46"/>
      <c r="BX28" s="46"/>
      <c r="BY28" s="46"/>
      <c r="BZ28" s="46"/>
      <c r="CA28" s="48"/>
      <c r="CB28" s="48"/>
      <c r="CC28" s="48"/>
      <c r="CD28" s="48"/>
      <c r="CE28" s="48"/>
      <c r="CF28" s="48"/>
      <c r="CG28" s="48">
        <f>'[1]PUNTS PER PROGRAMA'!B37*0.9</f>
        <v>20.647734743090442</v>
      </c>
      <c r="CH28" s="48">
        <f>'[1]PUNTS PER PROGRAMA'!B37*0.1</f>
        <v>2.2941927492322711</v>
      </c>
      <c r="CI28" s="65">
        <f>'[1]PUNTS PER PROGRAMA'!C37</f>
        <v>6.2074698680169851</v>
      </c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>
        <f>0.22*'[1]PUNTS PER PROGRAMA'!B51*0.9</f>
        <v>26.048337073452412</v>
      </c>
      <c r="DO28" s="48">
        <f>'[1]PUNTS PER PROGRAMA'!B51*0.1*0.25</f>
        <v>3.2889314486682339</v>
      </c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50"/>
      <c r="FA28" s="50"/>
      <c r="FB28" s="51"/>
      <c r="FC28" s="42"/>
      <c r="FD28" s="54"/>
      <c r="FE28" s="25">
        <f t="shared" si="0"/>
        <v>58.486665882460343</v>
      </c>
      <c r="FF28" s="35"/>
      <c r="FG28" s="27">
        <f t="shared" si="1"/>
        <v>46.696071816542855</v>
      </c>
      <c r="FH28" s="27">
        <f t="shared" si="2"/>
        <v>5.5831241979005046</v>
      </c>
      <c r="FI28" s="27">
        <f t="shared" si="3"/>
        <v>6.2074698680169851</v>
      </c>
      <c r="FJ28" s="55" t="s">
        <v>97</v>
      </c>
      <c r="FK28" s="56" t="s">
        <v>98</v>
      </c>
    </row>
    <row r="29" spans="1:167" x14ac:dyDescent="0.3">
      <c r="A29" s="55" t="s">
        <v>99</v>
      </c>
      <c r="B29" s="56" t="s">
        <v>100</v>
      </c>
      <c r="C29" s="57"/>
      <c r="D29" s="28"/>
      <c r="E29" s="28"/>
      <c r="F29" s="28"/>
      <c r="G29" s="29"/>
      <c r="H29" s="29"/>
      <c r="I29" s="29"/>
      <c r="J29" s="29"/>
      <c r="K29" s="29"/>
      <c r="L29" s="29"/>
      <c r="M29" s="29"/>
      <c r="N29" s="44"/>
      <c r="O29" s="44"/>
      <c r="P29" s="45"/>
      <c r="Q29" s="45"/>
      <c r="R29" s="45"/>
      <c r="S29" s="45"/>
      <c r="T29" s="45"/>
      <c r="U29" s="45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/>
      <c r="AL29" s="46"/>
      <c r="AM29" s="46"/>
      <c r="AN29" s="45"/>
      <c r="AO29" s="45"/>
      <c r="AP29" s="45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7">
        <f>0.465*'[1]PUNTS PER PROGRAMA'!B31*0.9</f>
        <v>24.342888343973069</v>
      </c>
      <c r="BS29" s="47">
        <f>0.333*'[1]PUNTS PER PROGRAMA'!B31*0.1</f>
        <v>1.9369610080150612</v>
      </c>
      <c r="BT29" s="76"/>
      <c r="BU29" s="46"/>
      <c r="BV29" s="46"/>
      <c r="BW29" s="46"/>
      <c r="BX29" s="46"/>
      <c r="BY29" s="46"/>
      <c r="BZ29" s="46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>
        <f>0.06*'[1]PUNTS PER PROGRAMA'!B51*0.9</f>
        <v>7.1040919291233848</v>
      </c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50"/>
      <c r="FA29" s="50"/>
      <c r="FB29" s="51"/>
      <c r="FC29" s="42"/>
      <c r="FD29" s="54"/>
      <c r="FE29" s="25">
        <f t="shared" si="0"/>
        <v>33.383941281111518</v>
      </c>
      <c r="FF29" s="35"/>
      <c r="FG29" s="27">
        <f t="shared" si="1"/>
        <v>31.446980273096454</v>
      </c>
      <c r="FH29" s="27">
        <f t="shared" si="2"/>
        <v>1.9369610080150612</v>
      </c>
      <c r="FI29" s="27">
        <f t="shared" si="3"/>
        <v>0</v>
      </c>
      <c r="FJ29" s="55" t="s">
        <v>99</v>
      </c>
      <c r="FK29" s="56" t="s">
        <v>100</v>
      </c>
    </row>
    <row r="30" spans="1:167" x14ac:dyDescent="0.3">
      <c r="A30" s="55" t="s">
        <v>101</v>
      </c>
      <c r="B30" s="56" t="s">
        <v>102</v>
      </c>
      <c r="C30" s="57"/>
      <c r="D30" s="28"/>
      <c r="E30" s="28"/>
      <c r="F30" s="28"/>
      <c r="G30" s="29"/>
      <c r="H30" s="29"/>
      <c r="I30" s="29"/>
      <c r="J30" s="29"/>
      <c r="K30" s="29"/>
      <c r="L30" s="29"/>
      <c r="M30" s="29"/>
      <c r="N30" s="44"/>
      <c r="O30" s="44"/>
      <c r="P30" s="45"/>
      <c r="Q30" s="45"/>
      <c r="R30" s="45"/>
      <c r="S30" s="45"/>
      <c r="T30" s="45"/>
      <c r="U30" s="45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7"/>
      <c r="AL30" s="46"/>
      <c r="AM30" s="46"/>
      <c r="AN30" s="45"/>
      <c r="AO30" s="45"/>
      <c r="AP30" s="45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7"/>
      <c r="BS30" s="47"/>
      <c r="BT30" s="47"/>
      <c r="BU30" s="46"/>
      <c r="BV30" s="46"/>
      <c r="BW30" s="46"/>
      <c r="BX30" s="46">
        <f>'[1]PUNTS PER PROGRAMA'!B34*0.9</f>
        <v>27.250768496132903</v>
      </c>
      <c r="BY30" s="46">
        <f>'[1]PUNTS PER PROGRAMA'!$B$34*0.1</f>
        <v>3.027863166236989</v>
      </c>
      <c r="BZ30" s="65">
        <f>'[1]PUNTS PER PROGRAMA'!C34</f>
        <v>11.593612192756311</v>
      </c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>
        <f>0.13*'[1]PUNTS PER PROGRAMA'!B51*0.9</f>
        <v>15.392199179767335</v>
      </c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>
        <v>0</v>
      </c>
      <c r="EZ30" s="49">
        <v>0</v>
      </c>
      <c r="FA30" s="50"/>
      <c r="FB30" s="51"/>
      <c r="FC30" s="42"/>
      <c r="FD30" s="77"/>
      <c r="FE30" s="25">
        <f t="shared" si="0"/>
        <v>57.264443034893532</v>
      </c>
      <c r="FF30" s="35"/>
      <c r="FG30" s="27">
        <f t="shared" si="1"/>
        <v>42.642967675900238</v>
      </c>
      <c r="FH30" s="27">
        <f t="shared" si="2"/>
        <v>3.027863166236989</v>
      </c>
      <c r="FI30" s="27">
        <f t="shared" si="3"/>
        <v>11.593612192756311</v>
      </c>
      <c r="FJ30" s="55" t="s">
        <v>101</v>
      </c>
      <c r="FK30" s="56" t="s">
        <v>102</v>
      </c>
    </row>
    <row r="31" spans="1:167" x14ac:dyDescent="0.3">
      <c r="A31" s="55" t="s">
        <v>103</v>
      </c>
      <c r="B31" s="56" t="s">
        <v>104</v>
      </c>
      <c r="C31" s="57"/>
      <c r="D31" s="28">
        <f>'[1]PUNTS PER PROGRAMA'!B5*0.9</f>
        <v>17.466711183230565</v>
      </c>
      <c r="E31" s="28">
        <f>'[1]PUNTS PER PROGRAMA'!B5*0.1</f>
        <v>1.9407456870256183</v>
      </c>
      <c r="F31" s="78">
        <f>'[1]PUNTS PER PROGRAMA'!C5</f>
        <v>11.021445098434537</v>
      </c>
      <c r="G31" s="29"/>
      <c r="H31" s="29"/>
      <c r="I31" s="29"/>
      <c r="J31" s="29"/>
      <c r="K31" s="29"/>
      <c r="L31" s="29"/>
      <c r="M31" s="29"/>
      <c r="N31" s="44"/>
      <c r="O31" s="44"/>
      <c r="P31" s="45"/>
      <c r="Q31" s="45"/>
      <c r="R31" s="45"/>
      <c r="S31" s="45"/>
      <c r="T31" s="45"/>
      <c r="U31" s="45"/>
      <c r="V31" s="46"/>
      <c r="W31" s="46"/>
      <c r="X31" s="46"/>
      <c r="Y31" s="46"/>
      <c r="Z31" s="46"/>
      <c r="AA31" s="46"/>
      <c r="AB31" s="46">
        <f>'[1]PUNTS PER PROGRAMA'!B11*0.9</f>
        <v>8.6755187996178318</v>
      </c>
      <c r="AC31" s="46">
        <f>'[1]PUNTS PER PROGRAMA'!B11*0.1</f>
        <v>0.9639465332908701</v>
      </c>
      <c r="AD31" s="63">
        <f>'[1]PUNTS PER PROGRAMA'!C11</f>
        <v>5.5073402806794052</v>
      </c>
      <c r="AE31" s="46"/>
      <c r="AF31" s="46"/>
      <c r="AG31" s="46"/>
      <c r="AH31" s="46"/>
      <c r="AI31" s="46"/>
      <c r="AJ31" s="46"/>
      <c r="AK31" s="47"/>
      <c r="AL31" s="46"/>
      <c r="AM31" s="46"/>
      <c r="AN31" s="45"/>
      <c r="AO31" s="45"/>
      <c r="AP31" s="45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7"/>
      <c r="BT31" s="47"/>
      <c r="BU31" s="46"/>
      <c r="BV31" s="46"/>
      <c r="BW31" s="46"/>
      <c r="BX31" s="46"/>
      <c r="BY31" s="46"/>
      <c r="BZ31" s="46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>
        <v>18</v>
      </c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50"/>
      <c r="FA31" s="50"/>
      <c r="FB31" s="51"/>
      <c r="FC31" s="42"/>
      <c r="FD31" s="52"/>
      <c r="FE31" s="25">
        <f t="shared" si="0"/>
        <v>63.575707582278831</v>
      </c>
      <c r="FF31" s="35"/>
      <c r="FG31" s="27">
        <f t="shared" si="1"/>
        <v>26.142229982848399</v>
      </c>
      <c r="FH31" s="27">
        <f t="shared" si="2"/>
        <v>2.9046922203164884</v>
      </c>
      <c r="FI31" s="27">
        <f t="shared" si="3"/>
        <v>34.528785379113941</v>
      </c>
      <c r="FJ31" s="55" t="s">
        <v>103</v>
      </c>
      <c r="FK31" s="56" t="s">
        <v>104</v>
      </c>
    </row>
    <row r="32" spans="1:167" x14ac:dyDescent="0.3">
      <c r="A32" s="55" t="s">
        <v>105</v>
      </c>
      <c r="B32" s="56" t="s">
        <v>38</v>
      </c>
      <c r="C32" s="57"/>
      <c r="D32" s="28"/>
      <c r="E32" s="28"/>
      <c r="F32" s="28"/>
      <c r="G32" s="29"/>
      <c r="H32" s="29"/>
      <c r="I32" s="29"/>
      <c r="J32" s="29"/>
      <c r="K32" s="29"/>
      <c r="L32" s="29"/>
      <c r="M32" s="29"/>
      <c r="N32" s="44"/>
      <c r="O32" s="44"/>
      <c r="P32" s="45"/>
      <c r="Q32" s="45"/>
      <c r="R32" s="45"/>
      <c r="S32" s="45"/>
      <c r="T32" s="45"/>
      <c r="U32" s="45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7"/>
      <c r="AL32" s="46"/>
      <c r="AM32" s="46"/>
      <c r="AN32" s="45"/>
      <c r="AO32" s="45"/>
      <c r="AP32" s="45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47"/>
      <c r="BT32" s="47"/>
      <c r="BU32" s="46"/>
      <c r="BV32" s="46"/>
      <c r="BW32" s="46"/>
      <c r="BX32" s="46"/>
      <c r="BY32" s="46"/>
      <c r="BZ32" s="46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>
        <f>'[1]PUNTS PER PROGRAMA'!B48*0.9</f>
        <v>35.996173419414312</v>
      </c>
      <c r="DI32" s="48">
        <f>'[1]PUNTS PER PROGRAMA'!B48*0.1</f>
        <v>3.9995748243793678</v>
      </c>
      <c r="DJ32" s="65">
        <f>'[1]PUNTS PER PROGRAMA'!C48</f>
        <v>7.1050393812522987</v>
      </c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50"/>
      <c r="FA32" s="50"/>
      <c r="FB32" s="51"/>
      <c r="FC32" s="42"/>
      <c r="FD32" s="54"/>
      <c r="FE32" s="25">
        <f t="shared" si="0"/>
        <v>47.100787625045974</v>
      </c>
      <c r="FF32" s="35"/>
      <c r="FG32" s="27">
        <f t="shared" si="1"/>
        <v>35.996173419414312</v>
      </c>
      <c r="FH32" s="27">
        <f t="shared" si="2"/>
        <v>3.9995748243793678</v>
      </c>
      <c r="FI32" s="27">
        <f t="shared" si="3"/>
        <v>7.1050393812522987</v>
      </c>
      <c r="FJ32" s="55" t="s">
        <v>105</v>
      </c>
      <c r="FK32" s="56" t="s">
        <v>38</v>
      </c>
    </row>
    <row r="33" spans="1:167" x14ac:dyDescent="0.3">
      <c r="A33" s="55" t="s">
        <v>106</v>
      </c>
      <c r="B33" s="56" t="s">
        <v>107</v>
      </c>
      <c r="C33" s="57"/>
      <c r="D33" s="79"/>
      <c r="E33" s="79"/>
      <c r="F33" s="79"/>
      <c r="G33" s="29"/>
      <c r="H33" s="29"/>
      <c r="I33" s="29"/>
      <c r="J33" s="29"/>
      <c r="K33" s="29"/>
      <c r="L33" s="29"/>
      <c r="M33" s="29"/>
      <c r="N33" s="44"/>
      <c r="O33" s="44"/>
      <c r="P33" s="45"/>
      <c r="Q33" s="45"/>
      <c r="R33" s="45"/>
      <c r="S33" s="45"/>
      <c r="T33" s="45"/>
      <c r="U33" s="45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7"/>
      <c r="AL33" s="46"/>
      <c r="AM33" s="46"/>
      <c r="AN33" s="45"/>
      <c r="AO33" s="45"/>
      <c r="AP33" s="45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7"/>
      <c r="BS33" s="47"/>
      <c r="BT33" s="47"/>
      <c r="BU33" s="46"/>
      <c r="BV33" s="46"/>
      <c r="BW33" s="46"/>
      <c r="BX33" s="46"/>
      <c r="BY33" s="46"/>
      <c r="BZ33" s="46"/>
      <c r="CA33" s="64">
        <f>0.1*'[1]PUNTS PER PROGRAMA'!B35*0.9</f>
        <v>4.1179795902185967</v>
      </c>
      <c r="CB33" s="64">
        <f>0.25*'[1]PUNTS PER PROGRAMA'!B35*0.1</f>
        <v>1.1438832195051658</v>
      </c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50"/>
      <c r="FA33" s="50"/>
      <c r="FB33" s="51"/>
      <c r="FC33" s="42"/>
      <c r="FD33" s="54"/>
      <c r="FE33" s="25">
        <f t="shared" si="0"/>
        <v>5.2618628097237625</v>
      </c>
      <c r="FF33" s="35"/>
      <c r="FG33" s="27">
        <f t="shared" si="1"/>
        <v>4.1179795902185967</v>
      </c>
      <c r="FH33" s="27">
        <f t="shared" si="2"/>
        <v>1.1438832195051658</v>
      </c>
      <c r="FI33" s="27">
        <f t="shared" si="3"/>
        <v>0</v>
      </c>
      <c r="FJ33" s="55" t="s">
        <v>106</v>
      </c>
      <c r="FK33" s="56" t="s">
        <v>107</v>
      </c>
    </row>
    <row r="34" spans="1:167" x14ac:dyDescent="0.3">
      <c r="A34" s="55" t="s">
        <v>108</v>
      </c>
      <c r="B34" s="56" t="s">
        <v>43</v>
      </c>
      <c r="C34" s="57"/>
      <c r="D34" s="28"/>
      <c r="E34" s="28"/>
      <c r="F34" s="28"/>
      <c r="G34" s="29"/>
      <c r="H34" s="29"/>
      <c r="I34" s="29"/>
      <c r="J34" s="29"/>
      <c r="K34" s="29"/>
      <c r="L34" s="29"/>
      <c r="M34" s="29"/>
      <c r="N34" s="44"/>
      <c r="O34" s="44"/>
      <c r="P34" s="45"/>
      <c r="Q34" s="45"/>
      <c r="R34" s="45"/>
      <c r="S34" s="45"/>
      <c r="T34" s="45"/>
      <c r="U34" s="45"/>
      <c r="V34" s="46"/>
      <c r="W34" s="46"/>
      <c r="X34" s="46"/>
      <c r="Y34" s="46"/>
      <c r="Z34" s="46"/>
      <c r="AA34" s="46"/>
      <c r="AB34" s="46"/>
      <c r="AC34" s="46"/>
      <c r="AD34" s="46"/>
      <c r="AE34" s="46">
        <f>0.06*'[1]PUNTS PER PROGRAMA'!B13*0.9</f>
        <v>1.758238476722547</v>
      </c>
      <c r="AF34" s="46"/>
      <c r="AG34" s="46"/>
      <c r="AH34" s="46"/>
      <c r="AI34" s="46"/>
      <c r="AJ34" s="46"/>
      <c r="AK34" s="47"/>
      <c r="AL34" s="46"/>
      <c r="AM34" s="46"/>
      <c r="AN34" s="45"/>
      <c r="AO34" s="45"/>
      <c r="AP34" s="45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7"/>
      <c r="BS34" s="47"/>
      <c r="BT34" s="47"/>
      <c r="BU34" s="46"/>
      <c r="BV34" s="46"/>
      <c r="BW34" s="46"/>
      <c r="BX34" s="46"/>
      <c r="BY34" s="46"/>
      <c r="BZ34" s="46"/>
      <c r="CA34" s="64"/>
      <c r="CB34" s="64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>
        <f>0.6*'[1]PUNTS PER PROGRAMA'!B42*0.9</f>
        <v>108.70163055253394</v>
      </c>
      <c r="CT34" s="48">
        <f>'[1]PUNTS PER PROGRAMA'!B42*0.1</f>
        <v>20.129931583802584</v>
      </c>
      <c r="CU34" s="65">
        <f>'[1]PUNTS PER PROGRAMA'!C42</f>
        <v>15.594700833580307</v>
      </c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>
        <f>0.985*'[1]PUNTS PER PROGRAMA'!B54*0.9</f>
        <v>87.816301453383147</v>
      </c>
      <c r="DX34" s="48">
        <f>'[1]PUNTS PER PROGRAMA'!B54*0.1</f>
        <v>9.9059561707143988</v>
      </c>
      <c r="DY34" s="65">
        <f>'[1]PUNTS PER PROGRAMA'!C54</f>
        <v>15.213661142481264</v>
      </c>
      <c r="DZ34" s="48"/>
      <c r="EA34" s="48"/>
      <c r="EB34" s="48"/>
      <c r="EC34" s="48"/>
      <c r="ED34" s="48"/>
      <c r="EE34" s="48"/>
      <c r="EF34" s="48"/>
      <c r="EG34" s="48"/>
      <c r="EH34" s="48"/>
      <c r="EI34" s="71"/>
      <c r="EJ34" s="71"/>
      <c r="EK34" s="71"/>
      <c r="EL34" s="59">
        <v>9</v>
      </c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61"/>
      <c r="EX34" s="49"/>
      <c r="EY34" s="42">
        <v>0</v>
      </c>
      <c r="EZ34" s="42">
        <v>0</v>
      </c>
      <c r="FA34" s="61">
        <v>0</v>
      </c>
      <c r="FB34" s="51"/>
      <c r="FC34" s="42"/>
      <c r="FD34" s="54"/>
      <c r="FE34" s="25">
        <f t="shared" si="0"/>
        <v>268.12042021321821</v>
      </c>
      <c r="FF34" s="35"/>
      <c r="FG34" s="27">
        <f t="shared" si="1"/>
        <v>198.27617048263966</v>
      </c>
      <c r="FH34" s="27">
        <f t="shared" si="2"/>
        <v>30.035887754516985</v>
      </c>
      <c r="FI34" s="27">
        <f t="shared" si="3"/>
        <v>39.808361976061569</v>
      </c>
      <c r="FJ34" s="55" t="s">
        <v>108</v>
      </c>
      <c r="FK34" s="56" t="s">
        <v>43</v>
      </c>
    </row>
    <row r="35" spans="1:167" x14ac:dyDescent="0.3">
      <c r="A35" s="55" t="s">
        <v>109</v>
      </c>
      <c r="B35" s="56" t="s">
        <v>110</v>
      </c>
      <c r="C35" s="57"/>
      <c r="D35" s="28"/>
      <c r="E35" s="28"/>
      <c r="F35" s="28"/>
      <c r="G35" s="29"/>
      <c r="H35" s="29"/>
      <c r="I35" s="29"/>
      <c r="J35" s="29"/>
      <c r="K35" s="29"/>
      <c r="L35" s="29"/>
      <c r="M35" s="29"/>
      <c r="N35" s="44"/>
      <c r="O35" s="44"/>
      <c r="P35" s="45"/>
      <c r="Q35" s="45"/>
      <c r="R35" s="45"/>
      <c r="S35" s="45"/>
      <c r="T35" s="45"/>
      <c r="U35" s="45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7"/>
      <c r="AL35" s="46"/>
      <c r="AM35" s="46"/>
      <c r="AN35" s="45"/>
      <c r="AO35" s="45"/>
      <c r="AP35" s="45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7"/>
      <c r="BS35" s="47"/>
      <c r="BT35" s="47"/>
      <c r="BU35" s="46"/>
      <c r="BV35" s="46"/>
      <c r="BW35" s="46"/>
      <c r="BX35" s="46"/>
      <c r="BY35" s="46"/>
      <c r="BZ35" s="46"/>
      <c r="CA35" s="64"/>
      <c r="CB35" s="64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>
        <f>'[1]PUNTS PER PROGRAMA'!B56*0.9</f>
        <v>38.33575841089926</v>
      </c>
      <c r="ED35" s="48">
        <f>'[1]PUNTS PER PROGRAMA'!B56*0.1</f>
        <v>4.2595287123221395</v>
      </c>
      <c r="EE35" s="65">
        <f>'[1]PUNTS PER PROGRAMA'!C56</f>
        <v>12.241857217011653</v>
      </c>
      <c r="EF35" s="48"/>
      <c r="EG35" s="48"/>
      <c r="EH35" s="48"/>
      <c r="EI35" s="48"/>
      <c r="EJ35" s="48"/>
      <c r="EK35" s="48"/>
      <c r="EL35" s="48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50"/>
      <c r="FA35" s="50"/>
      <c r="FB35" s="51"/>
      <c r="FC35" s="42"/>
      <c r="FD35" s="54"/>
      <c r="FE35" s="25">
        <f t="shared" si="0"/>
        <v>54.837144340233053</v>
      </c>
      <c r="FF35" s="35"/>
      <c r="FG35" s="27">
        <f t="shared" si="1"/>
        <v>38.33575841089926</v>
      </c>
      <c r="FH35" s="27">
        <f t="shared" si="2"/>
        <v>4.2595287123221395</v>
      </c>
      <c r="FI35" s="27">
        <f t="shared" si="3"/>
        <v>12.241857217011653</v>
      </c>
      <c r="FJ35" s="55" t="s">
        <v>109</v>
      </c>
      <c r="FK35" s="56" t="s">
        <v>110</v>
      </c>
    </row>
    <row r="36" spans="1:167" x14ac:dyDescent="0.3">
      <c r="A36" s="55" t="s">
        <v>111</v>
      </c>
      <c r="B36" s="56" t="s">
        <v>112</v>
      </c>
      <c r="C36" s="57"/>
      <c r="D36" s="28"/>
      <c r="E36" s="28"/>
      <c r="F36" s="28"/>
      <c r="G36" s="29"/>
      <c r="H36" s="29"/>
      <c r="I36" s="29"/>
      <c r="J36" s="29"/>
      <c r="K36" s="29"/>
      <c r="L36" s="29"/>
      <c r="M36" s="29"/>
      <c r="N36" s="44"/>
      <c r="O36" s="44"/>
      <c r="P36" s="45"/>
      <c r="Q36" s="45"/>
      <c r="R36" s="45"/>
      <c r="S36" s="45"/>
      <c r="T36" s="45"/>
      <c r="U36" s="45"/>
      <c r="V36" s="46"/>
      <c r="W36" s="46"/>
      <c r="X36" s="46"/>
      <c r="Y36" s="46">
        <f>'[1]PUNTS PER PROGRAMA'!B32*0.9</f>
        <v>26.25983145990989</v>
      </c>
      <c r="Z36" s="46">
        <f>'[1]PUNTS PER PROGRAMA'!B32*0.1</f>
        <v>2.9177590511010987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7"/>
      <c r="AL36" s="46"/>
      <c r="AM36" s="46"/>
      <c r="AN36" s="45"/>
      <c r="AO36" s="45"/>
      <c r="AP36" s="45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7"/>
      <c r="BS36" s="47"/>
      <c r="BT36" s="47"/>
      <c r="BU36" s="46"/>
      <c r="BV36" s="46"/>
      <c r="BW36" s="46"/>
      <c r="BX36" s="46"/>
      <c r="BY36" s="46"/>
      <c r="BZ36" s="46"/>
      <c r="CA36" s="64"/>
      <c r="CB36" s="64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50"/>
      <c r="FA36" s="50"/>
      <c r="FB36" s="51"/>
      <c r="FC36" s="42"/>
      <c r="FD36" s="54"/>
      <c r="FE36" s="25">
        <f t="shared" si="0"/>
        <v>29.17759051101099</v>
      </c>
      <c r="FF36" s="35"/>
      <c r="FG36" s="27">
        <f t="shared" si="1"/>
        <v>26.25983145990989</v>
      </c>
      <c r="FH36" s="27">
        <f t="shared" si="2"/>
        <v>2.9177590511010987</v>
      </c>
      <c r="FI36" s="27">
        <f t="shared" si="3"/>
        <v>0</v>
      </c>
      <c r="FJ36" s="55" t="s">
        <v>111</v>
      </c>
      <c r="FK36" s="56" t="s">
        <v>112</v>
      </c>
    </row>
    <row r="37" spans="1:167" x14ac:dyDescent="0.3">
      <c r="A37" s="55" t="s">
        <v>113</v>
      </c>
      <c r="B37" s="56" t="s">
        <v>114</v>
      </c>
      <c r="C37" s="57"/>
      <c r="D37" s="28"/>
      <c r="E37" s="28"/>
      <c r="F37" s="28"/>
      <c r="G37" s="29"/>
      <c r="H37" s="29"/>
      <c r="I37" s="29"/>
      <c r="J37" s="29"/>
      <c r="K37" s="29"/>
      <c r="L37" s="29"/>
      <c r="M37" s="29"/>
      <c r="N37" s="44"/>
      <c r="O37" s="44"/>
      <c r="P37" s="45"/>
      <c r="Q37" s="45"/>
      <c r="R37" s="45"/>
      <c r="S37" s="45"/>
      <c r="T37" s="45"/>
      <c r="U37" s="45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7"/>
      <c r="AL37" s="46"/>
      <c r="AM37" s="46"/>
      <c r="AN37" s="45"/>
      <c r="AO37" s="45"/>
      <c r="AP37" s="45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7"/>
      <c r="BS37" s="47"/>
      <c r="BT37" s="47"/>
      <c r="BU37" s="46"/>
      <c r="BV37" s="46"/>
      <c r="BW37" s="46"/>
      <c r="BX37" s="46"/>
      <c r="BY37" s="46"/>
      <c r="BZ37" s="46"/>
      <c r="CA37" s="64"/>
      <c r="CB37" s="64"/>
      <c r="CC37" s="48"/>
      <c r="CD37" s="48">
        <f>'[1]PUNTS PER PROGRAMA'!B36*0.9</f>
        <v>44.687500942178119</v>
      </c>
      <c r="CE37" s="48">
        <f>'[1]PUNTS PER PROGRAMA'!B36*0.1</f>
        <v>4.9652778824642354</v>
      </c>
      <c r="CF37" s="65">
        <f>'[1]PUNTS PER PROGRAMA'!C36</f>
        <v>7.613304148665387</v>
      </c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50"/>
      <c r="FA37" s="50"/>
      <c r="FB37" s="51"/>
      <c r="FC37" s="42"/>
      <c r="FD37" s="77"/>
      <c r="FE37" s="25">
        <f t="shared" si="0"/>
        <v>57.266082973307739</v>
      </c>
      <c r="FF37" s="35"/>
      <c r="FG37" s="27">
        <f t="shared" si="1"/>
        <v>44.687500942178119</v>
      </c>
      <c r="FH37" s="27">
        <f t="shared" si="2"/>
        <v>4.9652778824642354</v>
      </c>
      <c r="FI37" s="27">
        <f t="shared" si="3"/>
        <v>7.613304148665387</v>
      </c>
      <c r="FJ37" s="55" t="s">
        <v>113</v>
      </c>
      <c r="FK37" s="56" t="s">
        <v>114</v>
      </c>
    </row>
    <row r="38" spans="1:167" x14ac:dyDescent="0.3">
      <c r="A38" s="55" t="s">
        <v>115</v>
      </c>
      <c r="B38" s="56" t="s">
        <v>116</v>
      </c>
      <c r="C38" s="57"/>
      <c r="D38" s="28"/>
      <c r="E38" s="28"/>
      <c r="F38" s="28"/>
      <c r="G38" s="29"/>
      <c r="H38" s="29"/>
      <c r="I38" s="29"/>
      <c r="J38" s="29"/>
      <c r="K38" s="29"/>
      <c r="L38" s="29"/>
      <c r="M38" s="29"/>
      <c r="N38" s="44"/>
      <c r="O38" s="44"/>
      <c r="P38" s="45"/>
      <c r="Q38" s="45"/>
      <c r="R38" s="45"/>
      <c r="S38" s="45"/>
      <c r="T38" s="45"/>
      <c r="U38" s="45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7"/>
      <c r="AL38" s="46"/>
      <c r="AM38" s="46"/>
      <c r="AN38" s="45"/>
      <c r="AO38" s="45"/>
      <c r="AP38" s="45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7"/>
      <c r="BS38" s="47"/>
      <c r="BT38" s="47"/>
      <c r="BU38" s="46"/>
      <c r="BV38" s="46"/>
      <c r="BW38" s="46"/>
      <c r="BX38" s="46"/>
      <c r="BY38" s="46"/>
      <c r="BZ38" s="46"/>
      <c r="CA38" s="64"/>
      <c r="CB38" s="64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>
        <f>0.08*'[1]PUNTS PER PROGRAMA'!B51*0.9</f>
        <v>9.4721225721645137</v>
      </c>
      <c r="DO38" s="48"/>
      <c r="DP38" s="65">
        <f>'[1]PUNTS PER PROGRAMA'!C51</f>
        <v>11.924066207722598</v>
      </c>
      <c r="DQ38" s="48">
        <f>'[1]PUNTS PER PROGRAMA'!B52*0.9</f>
        <v>37.590039733280108</v>
      </c>
      <c r="DR38" s="48">
        <f>'[1]PUNTS PER PROGRAMA'!B52*0.1</f>
        <v>4.1766710814755674</v>
      </c>
      <c r="DS38" s="65">
        <f>'[1]PUNTS PER PROGRAMA'!C52</f>
        <v>7.1982479376187207</v>
      </c>
      <c r="DT38" s="48">
        <f>0.0585*'[1]PUNTS PER PROGRAMA'!B53*0.9</f>
        <v>3.2401945917037525</v>
      </c>
      <c r="DU38" s="48">
        <v>0.57999999999999996</v>
      </c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50"/>
      <c r="FA38" s="50"/>
      <c r="FB38" s="51"/>
      <c r="FC38" s="42"/>
      <c r="FD38" s="77"/>
      <c r="FE38" s="25">
        <f t="shared" si="0"/>
        <v>74.181342123965266</v>
      </c>
      <c r="FF38" s="35"/>
      <c r="FG38" s="27">
        <f t="shared" si="1"/>
        <v>50.302356897148378</v>
      </c>
      <c r="FH38" s="27">
        <f t="shared" si="2"/>
        <v>4.7566710814755675</v>
      </c>
      <c r="FI38" s="27">
        <f t="shared" si="3"/>
        <v>19.122314145341321</v>
      </c>
      <c r="FJ38" s="55" t="s">
        <v>115</v>
      </c>
      <c r="FK38" s="56" t="s">
        <v>116</v>
      </c>
    </row>
    <row r="39" spans="1:167" x14ac:dyDescent="0.3">
      <c r="A39" s="55" t="s">
        <v>117</v>
      </c>
      <c r="B39" s="56" t="s">
        <v>118</v>
      </c>
      <c r="C39" s="57"/>
      <c r="D39" s="28"/>
      <c r="E39" s="28"/>
      <c r="F39" s="28"/>
      <c r="G39" s="29"/>
      <c r="H39" s="29"/>
      <c r="I39" s="29"/>
      <c r="J39" s="29"/>
      <c r="K39" s="29"/>
      <c r="L39" s="29"/>
      <c r="M39" s="29"/>
      <c r="N39" s="44"/>
      <c r="O39" s="44"/>
      <c r="P39" s="45"/>
      <c r="Q39" s="45"/>
      <c r="R39" s="45"/>
      <c r="S39" s="45"/>
      <c r="T39" s="45"/>
      <c r="U39" s="45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7">
        <f>0.18*'[1]PUNTS PER PROGRAMA'!B15*0.9</f>
        <v>8.2664680882158503</v>
      </c>
      <c r="AL39" s="46"/>
      <c r="AM39" s="46"/>
      <c r="AN39" s="45"/>
      <c r="AO39" s="45"/>
      <c r="AP39" s="45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7"/>
      <c r="BS39" s="47"/>
      <c r="BT39" s="47"/>
      <c r="BU39" s="46"/>
      <c r="BV39" s="46"/>
      <c r="BW39" s="46"/>
      <c r="BX39" s="46"/>
      <c r="BY39" s="46"/>
      <c r="BZ39" s="46"/>
      <c r="CA39" s="64"/>
      <c r="CB39" s="64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>
        <f>0.01*'[1]PUNTS PER PROGRAMA'!B51*0.9</f>
        <v>1.1840153215205642</v>
      </c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80">
        <f>'[1]PUNTS PER PROGRAMA'!C57</f>
        <v>5.2593072545694737</v>
      </c>
      <c r="EL39" s="48"/>
      <c r="EM39" s="49"/>
      <c r="EN39" s="49"/>
      <c r="EO39" s="49"/>
      <c r="EP39" s="49"/>
      <c r="EQ39" s="49"/>
      <c r="ER39" s="49"/>
      <c r="ES39" s="49">
        <v>0</v>
      </c>
      <c r="ET39" s="49">
        <v>0</v>
      </c>
      <c r="EU39" s="49">
        <v>0</v>
      </c>
      <c r="EV39" s="49"/>
      <c r="EW39" s="49"/>
      <c r="EX39" s="49"/>
      <c r="EY39" s="49"/>
      <c r="EZ39" s="50"/>
      <c r="FA39" s="50"/>
      <c r="FB39" s="51"/>
      <c r="FC39" s="42"/>
      <c r="FD39" s="77"/>
      <c r="FE39" s="25">
        <f t="shared" si="0"/>
        <v>14.709790664305888</v>
      </c>
      <c r="FF39" s="35"/>
      <c r="FG39" s="27">
        <f t="shared" si="1"/>
        <v>9.4504834097364139</v>
      </c>
      <c r="FH39" s="27">
        <f t="shared" si="2"/>
        <v>0</v>
      </c>
      <c r="FI39" s="27">
        <f t="shared" si="3"/>
        <v>5.2593072545694737</v>
      </c>
      <c r="FJ39" s="55" t="s">
        <v>117</v>
      </c>
      <c r="FK39" s="56" t="s">
        <v>118</v>
      </c>
    </row>
    <row r="40" spans="1:167" x14ac:dyDescent="0.3">
      <c r="A40" s="55" t="s">
        <v>119</v>
      </c>
      <c r="B40" s="56" t="s">
        <v>120</v>
      </c>
      <c r="C40" s="57" t="s">
        <v>121</v>
      </c>
      <c r="D40" s="28"/>
      <c r="E40" s="28"/>
      <c r="F40" s="28"/>
      <c r="G40" s="29">
        <f>'[1]PUNTS PER PROGRAMA'!B8*0.13*0.9</f>
        <v>1.1986255824729992</v>
      </c>
      <c r="H40" s="29"/>
      <c r="I40" s="29"/>
      <c r="J40" s="29"/>
      <c r="K40" s="29"/>
      <c r="L40" s="29"/>
      <c r="M40" s="29"/>
      <c r="N40" s="44"/>
      <c r="O40" s="44"/>
      <c r="P40" s="45"/>
      <c r="Q40" s="45"/>
      <c r="R40" s="45"/>
      <c r="S40" s="45"/>
      <c r="T40" s="45"/>
      <c r="U40" s="45"/>
      <c r="V40" s="46"/>
      <c r="W40" s="46"/>
      <c r="X40" s="46"/>
      <c r="Y40" s="46"/>
      <c r="Z40" s="46"/>
      <c r="AA40" s="63">
        <f>'[1]PUNTS PER PROGRAMA'!C32</f>
        <v>6.5356626584742621</v>
      </c>
      <c r="AB40" s="46"/>
      <c r="AC40" s="46"/>
      <c r="AD40" s="46"/>
      <c r="AE40" s="46">
        <f>0.166*'[1]PUNTS PER PROGRAMA'!B13*0.9</f>
        <v>4.8644597855990472</v>
      </c>
      <c r="AF40" s="46">
        <f>'[1]PUNTS PER PROGRAMA'!B13*0.05</f>
        <v>1.6279985895579139</v>
      </c>
      <c r="AG40" s="63">
        <f>'[1]PUNTS PER PROGRAMA'!C13</f>
        <v>6.7136827258504361</v>
      </c>
      <c r="AH40" s="46"/>
      <c r="AI40" s="46"/>
      <c r="AJ40" s="46"/>
      <c r="AK40" s="47"/>
      <c r="AL40" s="46"/>
      <c r="AM40" s="46"/>
      <c r="AN40" s="45"/>
      <c r="AO40" s="45"/>
      <c r="AP40" s="45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7"/>
      <c r="BS40" s="47"/>
      <c r="BT40" s="47"/>
      <c r="BU40" s="46"/>
      <c r="BV40" s="46"/>
      <c r="BW40" s="46"/>
      <c r="BX40" s="46"/>
      <c r="BY40" s="46"/>
      <c r="BZ40" s="46"/>
      <c r="CA40" s="64"/>
      <c r="CB40" s="64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>
        <f>'[1]PUNTS PER PROGRAMA'!B40*0.9</f>
        <v>19.780182863128651</v>
      </c>
      <c r="CQ40" s="48">
        <f>'[1]PUNTS PER PROGRAMA'!B40*0.1</f>
        <v>2.1977980959031838</v>
      </c>
      <c r="CR40" s="65">
        <f>'[1]PUNTS PER PROGRAMA'!C40</f>
        <v>6.1567358399490439</v>
      </c>
      <c r="CS40" s="48">
        <f>'[1]PUNTS PER PROGRAMA'!B42*0.2*0.9</f>
        <v>36.233876850844652</v>
      </c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>
        <f>0.015*'[1]PUNTS PER PROGRAMA'!B47*0.9</f>
        <v>0.66440593174993201</v>
      </c>
      <c r="DF40" s="48"/>
      <c r="DG40" s="48"/>
      <c r="DH40" s="48"/>
      <c r="DI40" s="48"/>
      <c r="DJ40" s="48"/>
      <c r="DK40" s="48"/>
      <c r="DL40" s="48"/>
      <c r="DM40" s="48"/>
      <c r="DN40" s="48">
        <f>0.01*'[1]PUNTS PER PROGRAMA'!B51*0.9</f>
        <v>1.1840153215205642</v>
      </c>
      <c r="DO40" s="48"/>
      <c r="DP40" s="48"/>
      <c r="DQ40" s="48"/>
      <c r="DR40" s="48"/>
      <c r="DS40" s="48"/>
      <c r="DT40" s="48">
        <f>0.07*'[1]PUNTS PER PROGRAMA'!B53*0.9</f>
        <v>3.8771559216967981</v>
      </c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>
        <v>1.5</v>
      </c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>
        <v>0</v>
      </c>
      <c r="EZ40" s="49">
        <v>0</v>
      </c>
      <c r="FA40" s="50"/>
      <c r="FB40" s="51"/>
      <c r="FC40" s="42"/>
      <c r="FD40" s="77"/>
      <c r="FE40" s="25">
        <f t="shared" si="0"/>
        <v>92.534600166747467</v>
      </c>
      <c r="FF40" s="35"/>
      <c r="FG40" s="27">
        <f t="shared" si="1"/>
        <v>67.802722257012647</v>
      </c>
      <c r="FH40" s="27">
        <f t="shared" si="2"/>
        <v>3.8257966854610976</v>
      </c>
      <c r="FI40" s="27">
        <f t="shared" si="3"/>
        <v>20.906081224273741</v>
      </c>
      <c r="FJ40" s="55" t="s">
        <v>119</v>
      </c>
      <c r="FK40" s="56" t="s">
        <v>120</v>
      </c>
    </row>
    <row r="41" spans="1:167" x14ac:dyDescent="0.3">
      <c r="A41" s="55" t="s">
        <v>119</v>
      </c>
      <c r="B41" s="56" t="s">
        <v>120</v>
      </c>
      <c r="C41" s="57" t="s">
        <v>122</v>
      </c>
      <c r="D41" s="28"/>
      <c r="E41" s="28"/>
      <c r="F41" s="28"/>
      <c r="G41" s="29"/>
      <c r="H41" s="29"/>
      <c r="I41" s="29"/>
      <c r="J41" s="29"/>
      <c r="K41" s="29"/>
      <c r="L41" s="29"/>
      <c r="M41" s="29"/>
      <c r="N41" s="44"/>
      <c r="O41" s="44"/>
      <c r="P41" s="45"/>
      <c r="Q41" s="45"/>
      <c r="R41" s="45"/>
      <c r="S41" s="45"/>
      <c r="T41" s="45"/>
      <c r="U41" s="4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7"/>
      <c r="AL41" s="46"/>
      <c r="AM41" s="46"/>
      <c r="AN41" s="45"/>
      <c r="AO41" s="45"/>
      <c r="AP41" s="45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7"/>
      <c r="BS41" s="47"/>
      <c r="BT41" s="47"/>
      <c r="BU41" s="46">
        <f>'[1]PUNTS PER PROGRAMA'!B33*0.9</f>
        <v>24.705949648245003</v>
      </c>
      <c r="BV41" s="46">
        <f>'[1]PUNTS PER PROGRAMA'!B33*0.1*0.67</f>
        <v>1.8392206960360171</v>
      </c>
      <c r="BW41" s="63">
        <f>'[1]PUNTS PER PROGRAMA'!C33</f>
        <v>6.4447923770903515</v>
      </c>
      <c r="BX41" s="46"/>
      <c r="BY41" s="46"/>
      <c r="BZ41" s="46"/>
      <c r="CA41" s="64"/>
      <c r="CB41" s="64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50"/>
      <c r="FA41" s="50"/>
      <c r="FB41" s="51"/>
      <c r="FC41" s="42"/>
      <c r="FD41" s="77"/>
      <c r="FE41" s="25">
        <f t="shared" si="0"/>
        <v>32.98996272137137</v>
      </c>
      <c r="FF41" s="35"/>
      <c r="FG41" s="27">
        <f t="shared" si="1"/>
        <v>24.705949648245003</v>
      </c>
      <c r="FH41" s="27">
        <f t="shared" si="2"/>
        <v>1.8392206960360171</v>
      </c>
      <c r="FI41" s="27">
        <f t="shared" si="3"/>
        <v>6.4447923770903515</v>
      </c>
      <c r="FJ41" s="55" t="s">
        <v>119</v>
      </c>
      <c r="FK41" s="56" t="s">
        <v>120</v>
      </c>
    </row>
    <row r="42" spans="1:167" x14ac:dyDescent="0.3">
      <c r="A42" s="55" t="s">
        <v>119</v>
      </c>
      <c r="B42" s="56" t="s">
        <v>120</v>
      </c>
      <c r="C42" s="57" t="s">
        <v>123</v>
      </c>
      <c r="D42" s="28"/>
      <c r="E42" s="28"/>
      <c r="F42" s="28"/>
      <c r="G42" s="29"/>
      <c r="H42" s="29"/>
      <c r="I42" s="29"/>
      <c r="J42" s="29"/>
      <c r="K42" s="29"/>
      <c r="L42" s="29"/>
      <c r="M42" s="29"/>
      <c r="N42" s="44"/>
      <c r="O42" s="44"/>
      <c r="P42" s="45"/>
      <c r="Q42" s="45"/>
      <c r="R42" s="45"/>
      <c r="S42" s="45"/>
      <c r="T42" s="45"/>
      <c r="U42" s="45"/>
      <c r="V42" s="46"/>
      <c r="W42" s="46"/>
      <c r="X42" s="46"/>
      <c r="Y42" s="46"/>
      <c r="Z42" s="46"/>
      <c r="AA42" s="46"/>
      <c r="AB42" s="46"/>
      <c r="AC42" s="46"/>
      <c r="AD42" s="46"/>
      <c r="AE42" s="46">
        <f>0.4085*'[1]PUNTS PER PROGRAMA'!B13*0.9</f>
        <v>11.970673629019339</v>
      </c>
      <c r="AF42" s="46">
        <f>'[1]PUNTS PER PROGRAMA'!B13*0.05</f>
        <v>1.6279985895579139</v>
      </c>
      <c r="AG42" s="46"/>
      <c r="AH42" s="46"/>
      <c r="AI42" s="46"/>
      <c r="AJ42" s="46"/>
      <c r="AK42" s="47"/>
      <c r="AL42" s="46"/>
      <c r="AM42" s="46"/>
      <c r="AN42" s="45"/>
      <c r="AO42" s="45"/>
      <c r="AP42" s="45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7">
        <f>0.21*'[1]PUNTS PER PROGRAMA'!B31*0.9</f>
        <v>10.993562477923319</v>
      </c>
      <c r="BS42" s="47"/>
      <c r="BT42" s="47"/>
      <c r="BU42" s="46"/>
      <c r="BV42" s="46"/>
      <c r="BW42" s="46"/>
      <c r="BX42" s="46"/>
      <c r="BY42" s="46"/>
      <c r="BZ42" s="46"/>
      <c r="CA42" s="64"/>
      <c r="CB42" s="64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50"/>
      <c r="FA42" s="50"/>
      <c r="FB42" s="51"/>
      <c r="FC42" s="42"/>
      <c r="FD42" s="77"/>
      <c r="FE42" s="25">
        <f t="shared" si="0"/>
        <v>24.592234696500572</v>
      </c>
      <c r="FF42" s="35"/>
      <c r="FG42" s="27">
        <f t="shared" si="1"/>
        <v>22.964236106942657</v>
      </c>
      <c r="FH42" s="27">
        <f t="shared" si="2"/>
        <v>1.6279985895579139</v>
      </c>
      <c r="FI42" s="27">
        <f t="shared" si="3"/>
        <v>0</v>
      </c>
      <c r="FJ42" s="55" t="s">
        <v>119</v>
      </c>
      <c r="FK42" s="56" t="s">
        <v>120</v>
      </c>
    </row>
    <row r="43" spans="1:167" x14ac:dyDescent="0.3">
      <c r="A43" s="55" t="s">
        <v>124</v>
      </c>
      <c r="B43" s="56" t="s">
        <v>125</v>
      </c>
      <c r="C43" s="57"/>
      <c r="D43" s="28"/>
      <c r="E43" s="28"/>
      <c r="F43" s="28"/>
      <c r="G43" s="29"/>
      <c r="H43" s="29"/>
      <c r="I43" s="29"/>
      <c r="J43" s="29"/>
      <c r="K43" s="29"/>
      <c r="L43" s="29"/>
      <c r="M43" s="29"/>
      <c r="N43" s="44"/>
      <c r="O43" s="44"/>
      <c r="P43" s="45"/>
      <c r="Q43" s="45"/>
      <c r="R43" s="45"/>
      <c r="S43" s="45"/>
      <c r="T43" s="45"/>
      <c r="U43" s="45"/>
      <c r="V43" s="81"/>
      <c r="W43" s="81"/>
      <c r="X43" s="81"/>
      <c r="Y43" s="81"/>
      <c r="Z43" s="81"/>
      <c r="AA43" s="81"/>
      <c r="AB43" s="81"/>
      <c r="AC43" s="46"/>
      <c r="AD43" s="46"/>
      <c r="AE43" s="46">
        <f>0.174*'[1]PUNTS PER PROGRAMA'!B13*0.9</f>
        <v>5.0988915824953853</v>
      </c>
      <c r="AF43" s="46"/>
      <c r="AG43" s="46"/>
      <c r="AH43" s="46"/>
      <c r="AI43" s="46"/>
      <c r="AJ43" s="46"/>
      <c r="AK43" s="47">
        <f>0.02*'[1]PUNTS PER PROGRAMA'!B15*0.9</f>
        <v>0.91849645424620574</v>
      </c>
      <c r="AL43" s="46"/>
      <c r="AM43" s="46"/>
      <c r="AN43" s="45"/>
      <c r="AO43" s="45"/>
      <c r="AP43" s="45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64">
        <f>0.2*'[1]PUNTS PER PROGRAMA'!B35*0.9</f>
        <v>8.2359591804371934</v>
      </c>
      <c r="CB43" s="64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>
        <f>0.85*'[1]PUNTS PER PROGRAMA'!B45*0.9</f>
        <v>48.733160443736566</v>
      </c>
      <c r="DC43" s="48">
        <f>'[1]PUNTS PER PROGRAMA'!B45*0.1</f>
        <v>6.3703477704230806</v>
      </c>
      <c r="DD43" s="65">
        <f>'[1]PUNTS PER PROGRAMA'!C45</f>
        <v>8.3528146160121484</v>
      </c>
      <c r="DE43" s="48"/>
      <c r="DF43" s="48"/>
      <c r="DG43" s="48"/>
      <c r="DH43" s="48"/>
      <c r="DI43" s="48"/>
      <c r="DJ43" s="48"/>
      <c r="DK43" s="48"/>
      <c r="DL43" s="48"/>
      <c r="DM43" s="48"/>
      <c r="DN43" s="48">
        <f>0.015*'[1]PUNTS PER PROGRAMA'!B51*0.9</f>
        <v>1.7760229822808462</v>
      </c>
      <c r="DO43" s="48">
        <f>'[1]PUNTS PER PROGRAMA'!B51*0.1*0.25</f>
        <v>3.2889314486682339</v>
      </c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50"/>
      <c r="FA43" s="50"/>
      <c r="FB43" s="51"/>
      <c r="FC43" s="42"/>
      <c r="FD43" s="77"/>
      <c r="FE43" s="25">
        <f t="shared" si="0"/>
        <v>82.774624478299671</v>
      </c>
      <c r="FF43" s="35"/>
      <c r="FG43" s="27">
        <f t="shared" si="1"/>
        <v>64.7625306431962</v>
      </c>
      <c r="FH43" s="27">
        <f t="shared" si="2"/>
        <v>9.6592792190913137</v>
      </c>
      <c r="FI43" s="27">
        <f t="shared" si="3"/>
        <v>8.3528146160121484</v>
      </c>
      <c r="FJ43" s="55" t="s">
        <v>124</v>
      </c>
      <c r="FK43" s="56" t="s">
        <v>125</v>
      </c>
    </row>
    <row r="44" spans="1:167" x14ac:dyDescent="0.3">
      <c r="A44" s="55" t="s">
        <v>126</v>
      </c>
      <c r="B44" s="56" t="s">
        <v>127</v>
      </c>
      <c r="C44" s="57"/>
      <c r="D44" s="28"/>
      <c r="E44" s="28"/>
      <c r="F44" s="28"/>
      <c r="G44" s="29"/>
      <c r="H44" s="29"/>
      <c r="I44" s="29"/>
      <c r="J44" s="29"/>
      <c r="K44" s="29"/>
      <c r="L44" s="29"/>
      <c r="M44" s="29"/>
      <c r="N44" s="44"/>
      <c r="O44" s="44"/>
      <c r="P44" s="45"/>
      <c r="Q44" s="45"/>
      <c r="R44" s="45"/>
      <c r="S44" s="45"/>
      <c r="T44" s="82"/>
      <c r="U44" s="82"/>
      <c r="V44" s="29"/>
      <c r="W44" s="29"/>
      <c r="X44" s="29"/>
      <c r="Y44" s="29"/>
      <c r="Z44" s="29"/>
      <c r="AA44" s="29"/>
      <c r="AB44" s="29"/>
      <c r="AC44" s="46"/>
      <c r="AD44" s="83"/>
      <c r="AE44" s="46"/>
      <c r="AF44" s="46"/>
      <c r="AG44" s="46"/>
      <c r="AH44" s="46"/>
      <c r="AI44" s="46"/>
      <c r="AJ44" s="46"/>
      <c r="AK44" s="47"/>
      <c r="AL44" s="46"/>
      <c r="AM44" s="46"/>
      <c r="AN44" s="45"/>
      <c r="AO44" s="45"/>
      <c r="AP44" s="45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64"/>
      <c r="CB44" s="64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>
        <f>'[1]PUNTS PER PROGRAMA'!B49*0.9</f>
        <v>10.112965509526511</v>
      </c>
      <c r="DL44" s="48">
        <f>'[1]PUNTS PER PROGRAMA'!B49*0.1</f>
        <v>1.1236628343918345</v>
      </c>
      <c r="DM44" s="65">
        <f>'[1]PUNTS PER PROGRAMA'!C49</f>
        <v>5.5914014917851764</v>
      </c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50"/>
      <c r="FA44" s="50"/>
      <c r="FB44" s="51"/>
      <c r="FC44" s="42"/>
      <c r="FD44" s="77"/>
      <c r="FE44" s="25">
        <f t="shared" si="0"/>
        <v>16.828029835703521</v>
      </c>
      <c r="FF44" s="35"/>
      <c r="FG44" s="27">
        <f t="shared" si="1"/>
        <v>10.112965509526511</v>
      </c>
      <c r="FH44" s="27">
        <f t="shared" si="2"/>
        <v>1.1236628343918345</v>
      </c>
      <c r="FI44" s="27">
        <f t="shared" si="3"/>
        <v>5.5914014917851764</v>
      </c>
      <c r="FJ44" s="55" t="s">
        <v>126</v>
      </c>
      <c r="FK44" s="56" t="s">
        <v>127</v>
      </c>
    </row>
    <row r="45" spans="1:167" x14ac:dyDescent="0.3">
      <c r="A45" s="55" t="s">
        <v>128</v>
      </c>
      <c r="B45" s="56" t="s">
        <v>129</v>
      </c>
      <c r="C45" s="57"/>
      <c r="D45" s="28"/>
      <c r="E45" s="28"/>
      <c r="F45" s="28"/>
      <c r="G45" s="29"/>
      <c r="H45" s="29"/>
      <c r="I45" s="29"/>
      <c r="J45" s="29">
        <f>'[1]PUNTS PER PROGRAMA'!B6*0.9</f>
        <v>31.778104047489016</v>
      </c>
      <c r="K45" s="29">
        <f>'[1]PUNTS PER PROGRAMA'!B6*0.1</f>
        <v>3.5309004497210021</v>
      </c>
      <c r="L45" s="36">
        <f>'[1]PUNTS PER PROGRAMA'!C6</f>
        <v>6.8583686577478957</v>
      </c>
      <c r="M45" s="29"/>
      <c r="N45" s="44"/>
      <c r="O45" s="44"/>
      <c r="P45" s="45"/>
      <c r="Q45" s="45"/>
      <c r="R45" s="45"/>
      <c r="S45" s="45"/>
      <c r="T45" s="82"/>
      <c r="U45" s="82"/>
      <c r="V45" s="29"/>
      <c r="W45" s="29"/>
      <c r="X45" s="29"/>
      <c r="Y45" s="29"/>
      <c r="Z45" s="29"/>
      <c r="AA45" s="29"/>
      <c r="AB45" s="29"/>
      <c r="AC45" s="46"/>
      <c r="AD45" s="83"/>
      <c r="AE45" s="46">
        <f>0.022*'[1]PUNTS PER PROGRAMA'!B13*0.9</f>
        <v>0.64468744146493384</v>
      </c>
      <c r="AF45" s="46"/>
      <c r="AG45" s="46"/>
      <c r="AH45" s="46">
        <f>'[1]PUNTS PER PROGRAMA'!B14*0.9</f>
        <v>66.039976995757513</v>
      </c>
      <c r="AI45" s="46">
        <f>'[1]PUNTS PER PROGRAMA'!B14*0.1</f>
        <v>7.3377752217508352</v>
      </c>
      <c r="AJ45" s="63">
        <f>'[1]PUNTS PER PROGRAMA'!C14</f>
        <v>8.8619869588162281</v>
      </c>
      <c r="AK45" s="47"/>
      <c r="AL45" s="46"/>
      <c r="AM45" s="46"/>
      <c r="AN45" s="45"/>
      <c r="AO45" s="45"/>
      <c r="AP45" s="45"/>
      <c r="AQ45" s="46"/>
      <c r="AR45" s="46"/>
      <c r="AS45" s="46"/>
      <c r="AT45" s="46">
        <f>'[1]PUNTS PER PROGRAMA'!B25*0.9</f>
        <v>85.497237770233738</v>
      </c>
      <c r="AU45" s="46">
        <f>'[1]PUNTS PER PROGRAMA'!B25*0.1</f>
        <v>9.4996930855815265</v>
      </c>
      <c r="AV45" s="63">
        <f>'[1]PUNTS PER PROGRAMA'!C25</f>
        <v>14.99983846609554</v>
      </c>
      <c r="AW45" s="46"/>
      <c r="AX45" s="46"/>
      <c r="AY45" s="46"/>
      <c r="AZ45" s="46">
        <f>0.6*'[1]PUNTS PER PROGRAMA'!B22*0.9</f>
        <v>41.862270047755914</v>
      </c>
      <c r="BA45" s="46">
        <f>'[1]PUNTS PER PROGRAMA'!B22*0.1*0.75</f>
        <v>5.8142041732994336</v>
      </c>
      <c r="BB45" s="63">
        <f>'[1]PUNTS PER PROGRAMA'!C22</f>
        <v>9.0801432795083734</v>
      </c>
      <c r="BC45" s="46">
        <f>'[1]PUNTS PER PROGRAMA'!B24*0.9</f>
        <v>120.52512689695737</v>
      </c>
      <c r="BD45" s="46">
        <f>'[1]PUNTS PER PROGRAMA'!B24*0.1</f>
        <v>13.391680766328598</v>
      </c>
      <c r="BE45" s="63">
        <f>'[1]PUNTS PER PROGRAMA'!C24</f>
        <v>17.048253034909788</v>
      </c>
      <c r="BF45" s="46">
        <f>'[1]PUNTS PER PROGRAMA'!B27*0.9</f>
        <v>88.160742535033066</v>
      </c>
      <c r="BG45" s="46">
        <f>'[1]PUNTS PER PROGRAMA'!B27*0.1</f>
        <v>9.7956380594481178</v>
      </c>
      <c r="BH45" s="63">
        <f>'[1]PUNTS PER PROGRAMA'!C27</f>
        <v>10.155598978656904</v>
      </c>
      <c r="BI45" s="46"/>
      <c r="BJ45" s="46"/>
      <c r="BK45" s="46"/>
      <c r="BL45" s="46"/>
      <c r="BM45" s="46"/>
      <c r="BN45" s="46"/>
      <c r="BO45" s="46">
        <f>'[1]PUNTS PER PROGRAMA'!B30*0.9</f>
        <v>2.4291452638929929</v>
      </c>
      <c r="BP45" s="46">
        <f>'[1]PUNTS PER PROGRAMA'!B30*0.1</f>
        <v>0.26990502932144367</v>
      </c>
      <c r="BQ45" s="63">
        <f>'[1]PUNTS PER PROGRAMA'!C30</f>
        <v>0.14205527859023351</v>
      </c>
      <c r="BR45" s="46"/>
      <c r="BS45" s="46"/>
      <c r="BT45" s="46"/>
      <c r="BU45" s="46"/>
      <c r="BV45" s="46">
        <f>'[1]PUNTS PER PROGRAMA'!B33*0.1*0.33</f>
        <v>0.90588482043565022</v>
      </c>
      <c r="BW45" s="46"/>
      <c r="BX45" s="46"/>
      <c r="BY45" s="46"/>
      <c r="BZ45" s="46"/>
      <c r="CA45" s="64">
        <f>0.5*'[1]PUNTS PER PROGRAMA'!B35*0.9</f>
        <v>20.589897951092986</v>
      </c>
      <c r="CB45" s="64">
        <f>0.75*'[1]PUNTS PER PROGRAMA'!B35*0.1</f>
        <v>3.4316496585154974</v>
      </c>
      <c r="CC45" s="65">
        <f>'[1]PUNTS PER PROGRAMA'!C35</f>
        <v>7.4081751989582436</v>
      </c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>
        <f>0.15*'[1]PUNTS PER PROGRAMA'!B45*0.9</f>
        <v>8.5999694900711585</v>
      </c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>
        <f>0.08*'[1]PUNTS PER PROGRAMA'!B51*0.9</f>
        <v>9.4721225721645137</v>
      </c>
      <c r="DO45" s="48">
        <f>'[1]PUNTS PER PROGRAMA'!B51*0.1*0.5</f>
        <v>6.5778628973364679</v>
      </c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>
        <v>6</v>
      </c>
      <c r="EM45" s="49">
        <v>0</v>
      </c>
      <c r="EN45" s="49">
        <v>0</v>
      </c>
      <c r="EO45" s="49">
        <v>0</v>
      </c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50"/>
      <c r="FA45" s="50"/>
      <c r="FB45" s="51">
        <v>0</v>
      </c>
      <c r="FC45" s="51">
        <v>0</v>
      </c>
      <c r="FD45" s="77">
        <v>0</v>
      </c>
      <c r="FE45" s="25">
        <f t="shared" si="0"/>
        <v>616.70889502693512</v>
      </c>
      <c r="FF45" s="35"/>
      <c r="FG45" s="27">
        <f t="shared" si="1"/>
        <v>475.59928101191326</v>
      </c>
      <c r="FH45" s="27">
        <f t="shared" si="2"/>
        <v>60.555194161738569</v>
      </c>
      <c r="FI45" s="27">
        <f t="shared" si="3"/>
        <v>80.554419853283221</v>
      </c>
      <c r="FJ45" s="55" t="s">
        <v>128</v>
      </c>
      <c r="FK45" s="56" t="s">
        <v>129</v>
      </c>
    </row>
    <row r="46" spans="1:167" x14ac:dyDescent="0.3">
      <c r="A46" s="55" t="s">
        <v>130</v>
      </c>
      <c r="B46" s="56" t="s">
        <v>131</v>
      </c>
      <c r="C46" s="57"/>
      <c r="D46" s="28"/>
      <c r="E46" s="28"/>
      <c r="F46" s="28"/>
      <c r="G46" s="29">
        <f>'[1]PUNTS PER PROGRAMA'!B8*0.08*0.9</f>
        <v>0.73761574306030708</v>
      </c>
      <c r="H46" s="29"/>
      <c r="I46" s="29"/>
      <c r="J46" s="29"/>
      <c r="K46" s="29"/>
      <c r="L46" s="29"/>
      <c r="M46" s="29"/>
      <c r="N46" s="44"/>
      <c r="O46" s="44"/>
      <c r="P46" s="45"/>
      <c r="Q46" s="45"/>
      <c r="R46" s="45"/>
      <c r="S46" s="45"/>
      <c r="T46" s="82"/>
      <c r="U46" s="82"/>
      <c r="V46" s="29"/>
      <c r="W46" s="29"/>
      <c r="X46" s="29"/>
      <c r="Y46" s="29"/>
      <c r="Z46" s="29"/>
      <c r="AA46" s="29"/>
      <c r="AB46" s="29"/>
      <c r="AC46" s="46"/>
      <c r="AD46" s="83"/>
      <c r="AE46" s="46"/>
      <c r="AF46" s="46"/>
      <c r="AG46" s="46"/>
      <c r="AH46" s="46"/>
      <c r="AI46" s="46"/>
      <c r="AJ46" s="46"/>
      <c r="AK46" s="47"/>
      <c r="AL46" s="46"/>
      <c r="AM46" s="46"/>
      <c r="AN46" s="45">
        <f>'[1]PUNTS PER PROGRAMA'!B46*0.9</f>
        <v>23.423900758968148</v>
      </c>
      <c r="AO46" s="45">
        <f>'[1]PUNTS PER PROGRAMA'!B46*0.1</f>
        <v>2.60265563988535</v>
      </c>
      <c r="AP46" s="63">
        <f>'[1]PUNTS PER PROGRAMA'!C46</f>
        <v>6.3698187578343948</v>
      </c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64"/>
      <c r="CB46" s="64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50"/>
      <c r="FA46" s="50"/>
      <c r="FB46" s="51"/>
      <c r="FC46" s="42"/>
      <c r="FD46" s="52"/>
      <c r="FE46" s="25">
        <f t="shared" si="0"/>
        <v>33.133990899748198</v>
      </c>
      <c r="FF46" s="35"/>
      <c r="FG46" s="27">
        <f t="shared" si="1"/>
        <v>24.161516502028455</v>
      </c>
      <c r="FH46" s="27">
        <f t="shared" si="2"/>
        <v>2.60265563988535</v>
      </c>
      <c r="FI46" s="27">
        <f t="shared" si="3"/>
        <v>6.3698187578343948</v>
      </c>
      <c r="FJ46" s="55" t="s">
        <v>130</v>
      </c>
      <c r="FK46" s="56" t="s">
        <v>131</v>
      </c>
    </row>
    <row r="47" spans="1:167" x14ac:dyDescent="0.3">
      <c r="A47" s="55" t="s">
        <v>132</v>
      </c>
      <c r="B47" s="56" t="s">
        <v>133</v>
      </c>
      <c r="C47" s="57" t="s">
        <v>134</v>
      </c>
      <c r="D47" s="28"/>
      <c r="E47" s="28"/>
      <c r="F47" s="28"/>
      <c r="G47" s="29">
        <f>'[1]PUNTS PER PROGRAMA'!B8*0.79*0.9</f>
        <v>7.2839554627205327</v>
      </c>
      <c r="H47" s="29">
        <f>'[1]PUNTS PER PROGRAMA'!B8*0.1</f>
        <v>1.0244663098059821</v>
      </c>
      <c r="I47" s="78">
        <f>'[1]PUNTS PER PROGRAMA'!C8</f>
        <v>5.5391927946347277</v>
      </c>
      <c r="J47" s="29"/>
      <c r="K47" s="29"/>
      <c r="L47" s="29"/>
      <c r="M47" s="29"/>
      <c r="N47" s="44"/>
      <c r="O47" s="44"/>
      <c r="P47" s="45"/>
      <c r="Q47" s="45"/>
      <c r="R47" s="45"/>
      <c r="S47" s="45"/>
      <c r="T47" s="82"/>
      <c r="U47" s="82"/>
      <c r="V47" s="29"/>
      <c r="W47" s="29"/>
      <c r="X47" s="29"/>
      <c r="Y47" s="29"/>
      <c r="Z47" s="29"/>
      <c r="AA47" s="29"/>
      <c r="AB47" s="29"/>
      <c r="AC47" s="46"/>
      <c r="AD47" s="83"/>
      <c r="AE47" s="46"/>
      <c r="AF47" s="46"/>
      <c r="AG47" s="46"/>
      <c r="AH47" s="46"/>
      <c r="AI47" s="46"/>
      <c r="AJ47" s="46"/>
      <c r="AK47" s="47"/>
      <c r="AL47" s="46"/>
      <c r="AM47" s="46"/>
      <c r="AN47" s="45"/>
      <c r="AO47" s="45"/>
      <c r="AP47" s="45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64"/>
      <c r="CB47" s="64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>
        <f>'[1]PUNTS PER PROGRAMA'!B43*0.9</f>
        <v>25.632090198500205</v>
      </c>
      <c r="CW47" s="48">
        <f>'[1]PUNTS PER PROGRAMA'!B43*0.1</f>
        <v>2.8480100220555786</v>
      </c>
      <c r="CX47" s="65">
        <f>'[1]PUNTS PER PROGRAMA'!C43</f>
        <v>11.498952643187147</v>
      </c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>
        <f>0.08*'[1]PUNTS PER PROGRAMA'!B51*0.9</f>
        <v>9.4721225721645137</v>
      </c>
      <c r="DO47" s="48"/>
      <c r="DP47" s="48"/>
      <c r="DQ47" s="48"/>
      <c r="DR47" s="48"/>
      <c r="DS47" s="48"/>
      <c r="DT47" s="48"/>
      <c r="DU47" s="48"/>
      <c r="DV47" s="48"/>
      <c r="DW47" s="48">
        <f>0.01*'[1]PUNTS PER PROGRAMA'!B54*0.9</f>
        <v>0.89153605536429592</v>
      </c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50"/>
      <c r="FA47" s="50"/>
      <c r="FB47" s="51"/>
      <c r="FC47" s="42"/>
      <c r="FD47" s="77"/>
      <c r="FE47" s="25">
        <f t="shared" si="0"/>
        <v>64.190326058432973</v>
      </c>
      <c r="FF47" s="35"/>
      <c r="FG47" s="27">
        <f t="shared" si="1"/>
        <v>43.279704288749549</v>
      </c>
      <c r="FH47" s="27">
        <f t="shared" si="2"/>
        <v>3.8724763318615607</v>
      </c>
      <c r="FI47" s="27">
        <f t="shared" si="3"/>
        <v>17.038145437821875</v>
      </c>
      <c r="FJ47" s="55" t="s">
        <v>132</v>
      </c>
      <c r="FK47" s="56" t="s">
        <v>133</v>
      </c>
    </row>
    <row r="48" spans="1:167" x14ac:dyDescent="0.3">
      <c r="A48" s="55" t="s">
        <v>132</v>
      </c>
      <c r="B48" s="56" t="s">
        <v>133</v>
      </c>
      <c r="C48" s="57" t="s">
        <v>135</v>
      </c>
      <c r="D48" s="28"/>
      <c r="E48" s="28"/>
      <c r="F48" s="28"/>
      <c r="G48" s="29"/>
      <c r="H48" s="29"/>
      <c r="I48" s="29"/>
      <c r="J48" s="29"/>
      <c r="K48" s="29"/>
      <c r="L48" s="29"/>
      <c r="M48" s="29"/>
      <c r="N48" s="44"/>
      <c r="O48" s="44"/>
      <c r="P48" s="45"/>
      <c r="Q48" s="45"/>
      <c r="R48" s="45"/>
      <c r="S48" s="45"/>
      <c r="T48" s="82"/>
      <c r="U48" s="82"/>
      <c r="V48" s="29"/>
      <c r="W48" s="29"/>
      <c r="X48" s="29"/>
      <c r="Y48" s="29"/>
      <c r="Z48" s="29"/>
      <c r="AA48" s="29"/>
      <c r="AB48" s="29"/>
      <c r="AC48" s="46"/>
      <c r="AD48" s="83"/>
      <c r="AE48" s="46"/>
      <c r="AF48" s="46"/>
      <c r="AG48" s="46"/>
      <c r="AH48" s="46"/>
      <c r="AI48" s="46"/>
      <c r="AJ48" s="46"/>
      <c r="AK48" s="47"/>
      <c r="AL48" s="46"/>
      <c r="AM48" s="46"/>
      <c r="AN48" s="45"/>
      <c r="AO48" s="45"/>
      <c r="AP48" s="45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64"/>
      <c r="CB48" s="64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>
        <f>0.6715*'[1]PUNTS PER PROGRAMA'!B53*0.9</f>
        <v>37.193002877419993</v>
      </c>
      <c r="DU48" s="48">
        <f>'[1]PUNTS PER PROGRAMA'!B53*0.1-0.58</f>
        <v>5.5742157487250754</v>
      </c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50"/>
      <c r="FA48" s="50"/>
      <c r="FB48" s="51"/>
      <c r="FC48" s="42"/>
      <c r="FD48" s="77"/>
      <c r="FE48" s="25">
        <f t="shared" si="0"/>
        <v>42.767218626145066</v>
      </c>
      <c r="FF48" s="35"/>
      <c r="FG48" s="27">
        <f t="shared" si="1"/>
        <v>37.193002877419993</v>
      </c>
      <c r="FH48" s="27">
        <f t="shared" si="2"/>
        <v>5.5742157487250754</v>
      </c>
      <c r="FI48" s="27">
        <f t="shared" si="3"/>
        <v>0</v>
      </c>
      <c r="FJ48" s="55" t="s">
        <v>132</v>
      </c>
      <c r="FK48" s="56" t="s">
        <v>133</v>
      </c>
    </row>
    <row r="49" spans="1:167" x14ac:dyDescent="0.3">
      <c r="A49" s="55" t="s">
        <v>132</v>
      </c>
      <c r="B49" s="56" t="s">
        <v>133</v>
      </c>
      <c r="C49" s="57" t="s">
        <v>136</v>
      </c>
      <c r="D49" s="28"/>
      <c r="E49" s="28"/>
      <c r="F49" s="28"/>
      <c r="G49" s="29"/>
      <c r="H49" s="29"/>
      <c r="I49" s="29"/>
      <c r="J49" s="29"/>
      <c r="K49" s="29"/>
      <c r="L49" s="29"/>
      <c r="M49" s="29"/>
      <c r="N49" s="44"/>
      <c r="O49" s="44"/>
      <c r="P49" s="45"/>
      <c r="Q49" s="45"/>
      <c r="R49" s="45"/>
      <c r="S49" s="45"/>
      <c r="T49" s="82"/>
      <c r="U49" s="82"/>
      <c r="V49" s="29"/>
      <c r="W49" s="29"/>
      <c r="X49" s="29"/>
      <c r="Y49" s="29"/>
      <c r="Z49" s="29"/>
      <c r="AA49" s="29"/>
      <c r="AB49" s="29"/>
      <c r="AC49" s="46"/>
      <c r="AD49" s="83"/>
      <c r="AE49" s="46"/>
      <c r="AF49" s="46"/>
      <c r="AG49" s="46"/>
      <c r="AH49" s="46"/>
      <c r="AI49" s="46"/>
      <c r="AJ49" s="46"/>
      <c r="AK49" s="47"/>
      <c r="AL49" s="46"/>
      <c r="AM49" s="46"/>
      <c r="AN49" s="45"/>
      <c r="AO49" s="45"/>
      <c r="AP49" s="45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64"/>
      <c r="CB49" s="64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50"/>
      <c r="FA49" s="50"/>
      <c r="FB49" s="51"/>
      <c r="FC49" s="42"/>
      <c r="FD49" s="52"/>
      <c r="FE49" s="25">
        <f t="shared" si="0"/>
        <v>0</v>
      </c>
      <c r="FF49" s="35"/>
      <c r="FG49" s="27">
        <f t="shared" si="1"/>
        <v>0</v>
      </c>
      <c r="FH49" s="27">
        <f t="shared" si="2"/>
        <v>0</v>
      </c>
      <c r="FI49" s="27">
        <f t="shared" si="3"/>
        <v>0</v>
      </c>
      <c r="FJ49" s="55" t="s">
        <v>132</v>
      </c>
      <c r="FK49" s="56" t="s">
        <v>133</v>
      </c>
    </row>
    <row r="50" spans="1:167" x14ac:dyDescent="0.3">
      <c r="A50" s="55" t="s">
        <v>137</v>
      </c>
      <c r="B50" s="56" t="s">
        <v>133</v>
      </c>
      <c r="C50" s="57" t="s">
        <v>138</v>
      </c>
      <c r="D50" s="28"/>
      <c r="E50" s="28"/>
      <c r="F50" s="28"/>
      <c r="G50" s="29"/>
      <c r="H50" s="29"/>
      <c r="I50" s="29"/>
      <c r="J50" s="29"/>
      <c r="K50" s="29"/>
      <c r="L50" s="29"/>
      <c r="M50" s="29"/>
      <c r="N50" s="44"/>
      <c r="O50" s="44"/>
      <c r="P50" s="45"/>
      <c r="Q50" s="45"/>
      <c r="R50" s="45"/>
      <c r="S50" s="45"/>
      <c r="T50" s="82"/>
      <c r="U50" s="82"/>
      <c r="V50" s="29"/>
      <c r="W50" s="29"/>
      <c r="X50" s="29"/>
      <c r="Y50" s="29"/>
      <c r="Z50" s="29"/>
      <c r="AA50" s="29"/>
      <c r="AB50" s="29"/>
      <c r="AC50" s="46"/>
      <c r="AD50" s="83"/>
      <c r="AE50" s="46"/>
      <c r="AF50" s="46"/>
      <c r="AG50" s="46"/>
      <c r="AH50" s="46"/>
      <c r="AI50" s="46"/>
      <c r="AJ50" s="46"/>
      <c r="AK50" s="47"/>
      <c r="AL50" s="46"/>
      <c r="AM50" s="46"/>
      <c r="AN50" s="45"/>
      <c r="AO50" s="45"/>
      <c r="AP50" s="45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64">
        <f>0.2*'[1]PUNTS PER PROGRAMA'!B35*0.9</f>
        <v>8.2359591804371934</v>
      </c>
      <c r="CB50" s="64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>
        <f>0.2*0.9*'[1]PUNTS PER PROGRAMA'!B53</f>
        <v>11.077588347705138</v>
      </c>
      <c r="DU50" s="48"/>
      <c r="DV50" s="65">
        <f>'[1]PUNTS PER PROGRAMA'!C53</f>
        <v>8.2390609203816183</v>
      </c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50"/>
      <c r="FA50" s="50"/>
      <c r="FB50" s="51"/>
      <c r="FC50" s="42"/>
      <c r="FD50" s="52"/>
      <c r="FE50" s="25">
        <f t="shared" si="0"/>
        <v>27.552608448523948</v>
      </c>
      <c r="FF50" s="35"/>
      <c r="FG50" s="27">
        <f t="shared" si="1"/>
        <v>19.31354752814233</v>
      </c>
      <c r="FH50" s="27">
        <f t="shared" si="2"/>
        <v>0</v>
      </c>
      <c r="FI50" s="27">
        <f t="shared" si="3"/>
        <v>8.2390609203816183</v>
      </c>
      <c r="FJ50" s="55" t="s">
        <v>137</v>
      </c>
      <c r="FK50" s="56" t="s">
        <v>133</v>
      </c>
    </row>
    <row r="51" spans="1:167" x14ac:dyDescent="0.3">
      <c r="A51" s="55" t="s">
        <v>139</v>
      </c>
      <c r="B51" s="56" t="s">
        <v>140</v>
      </c>
      <c r="C51" s="57" t="s">
        <v>141</v>
      </c>
      <c r="D51" s="28"/>
      <c r="E51" s="28"/>
      <c r="F51" s="28"/>
      <c r="G51" s="29"/>
      <c r="H51" s="29"/>
      <c r="I51" s="29"/>
      <c r="J51" s="29"/>
      <c r="K51" s="29"/>
      <c r="L51" s="29"/>
      <c r="M51" s="29"/>
      <c r="N51" s="44"/>
      <c r="O51" s="44"/>
      <c r="P51" s="45"/>
      <c r="Q51" s="45"/>
      <c r="R51" s="45"/>
      <c r="S51" s="45"/>
      <c r="T51" s="82"/>
      <c r="U51" s="82"/>
      <c r="V51" s="29"/>
      <c r="W51" s="29"/>
      <c r="X51" s="29"/>
      <c r="Y51" s="29"/>
      <c r="Z51" s="29"/>
      <c r="AA51" s="29"/>
      <c r="AB51" s="29"/>
      <c r="AC51" s="46"/>
      <c r="AD51" s="83"/>
      <c r="AE51" s="46"/>
      <c r="AF51" s="46"/>
      <c r="AG51" s="46"/>
      <c r="AH51" s="46"/>
      <c r="AI51" s="46"/>
      <c r="AJ51" s="46"/>
      <c r="AK51" s="47"/>
      <c r="AL51" s="46"/>
      <c r="AM51" s="46"/>
      <c r="AN51" s="45"/>
      <c r="AO51" s="45"/>
      <c r="AP51" s="45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>
        <f>'[1]PUNTS PER PROGRAMA'!B55*0.9</f>
        <v>29.069338458481052</v>
      </c>
      <c r="EA51" s="48">
        <f>'[1]PUNTS PER PROGRAMA'!B55*0.1</f>
        <v>3.2299264953867834</v>
      </c>
      <c r="EB51" s="65">
        <f>'[1]PUNTS PER PROGRAMA'!C55</f>
        <v>6.6999613133614648</v>
      </c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50"/>
      <c r="FA51" s="50"/>
      <c r="FB51" s="51"/>
      <c r="FC51" s="42"/>
      <c r="FD51" s="77"/>
      <c r="FE51" s="25">
        <f t="shared" si="0"/>
        <v>38.999226267229297</v>
      </c>
      <c r="FF51" s="35"/>
      <c r="FG51" s="27">
        <f t="shared" si="1"/>
        <v>29.069338458481052</v>
      </c>
      <c r="FH51" s="27">
        <f t="shared" si="2"/>
        <v>3.2299264953867834</v>
      </c>
      <c r="FI51" s="27">
        <f t="shared" si="3"/>
        <v>6.6999613133614648</v>
      </c>
      <c r="FJ51" s="55" t="s">
        <v>139</v>
      </c>
      <c r="FK51" s="56" t="s">
        <v>140</v>
      </c>
    </row>
    <row r="52" spans="1:167" x14ac:dyDescent="0.3">
      <c r="A52" s="55" t="s">
        <v>139</v>
      </c>
      <c r="B52" s="56" t="s">
        <v>140</v>
      </c>
      <c r="C52" s="57" t="s">
        <v>142</v>
      </c>
      <c r="D52" s="28"/>
      <c r="E52" s="28"/>
      <c r="F52" s="28"/>
      <c r="G52" s="29"/>
      <c r="H52" s="29"/>
      <c r="I52" s="29"/>
      <c r="J52" s="29"/>
      <c r="K52" s="29"/>
      <c r="L52" s="29"/>
      <c r="M52" s="29"/>
      <c r="N52" s="44"/>
      <c r="O52" s="44"/>
      <c r="P52" s="45"/>
      <c r="Q52" s="45"/>
      <c r="R52" s="45"/>
      <c r="S52" s="45"/>
      <c r="T52" s="82"/>
      <c r="U52" s="82"/>
      <c r="V52" s="29"/>
      <c r="W52" s="29"/>
      <c r="X52" s="29"/>
      <c r="Y52" s="29"/>
      <c r="Z52" s="29"/>
      <c r="AA52" s="29"/>
      <c r="AB52" s="29"/>
      <c r="AC52" s="46"/>
      <c r="AD52" s="83"/>
      <c r="AE52" s="46"/>
      <c r="AF52" s="46"/>
      <c r="AG52" s="46"/>
      <c r="AH52" s="46"/>
      <c r="AI52" s="46"/>
      <c r="AJ52" s="46"/>
      <c r="AK52" s="47"/>
      <c r="AL52" s="46"/>
      <c r="AM52" s="46"/>
      <c r="AN52" s="45"/>
      <c r="AO52" s="45"/>
      <c r="AP52" s="45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50"/>
      <c r="FA52" s="50"/>
      <c r="FB52" s="51"/>
      <c r="FC52" s="42"/>
      <c r="FD52" s="52"/>
      <c r="FE52" s="25">
        <f t="shared" si="0"/>
        <v>0</v>
      </c>
      <c r="FF52" s="35"/>
      <c r="FG52" s="27">
        <f t="shared" si="1"/>
        <v>0</v>
      </c>
      <c r="FH52" s="27">
        <f t="shared" si="2"/>
        <v>0</v>
      </c>
      <c r="FI52" s="27">
        <f t="shared" si="3"/>
        <v>0</v>
      </c>
      <c r="FJ52" s="55" t="s">
        <v>139</v>
      </c>
      <c r="FK52" s="56" t="s">
        <v>140</v>
      </c>
    </row>
    <row r="53" spans="1:167" x14ac:dyDescent="0.3">
      <c r="A53" s="55" t="s">
        <v>143</v>
      </c>
      <c r="B53" s="56" t="s">
        <v>144</v>
      </c>
      <c r="C53" s="56"/>
      <c r="D53" s="28"/>
      <c r="E53" s="28"/>
      <c r="F53" s="28"/>
      <c r="G53" s="29"/>
      <c r="H53" s="29"/>
      <c r="I53" s="29"/>
      <c r="J53" s="29"/>
      <c r="K53" s="29"/>
      <c r="L53" s="29"/>
      <c r="M53" s="29"/>
      <c r="N53" s="44"/>
      <c r="O53" s="44"/>
      <c r="P53" s="45"/>
      <c r="Q53" s="45"/>
      <c r="R53" s="45"/>
      <c r="S53" s="45"/>
      <c r="T53" s="45"/>
      <c r="U53" s="45"/>
      <c r="V53" s="84"/>
      <c r="W53" s="84"/>
      <c r="X53" s="84"/>
      <c r="Y53" s="84"/>
      <c r="Z53" s="84"/>
      <c r="AA53" s="84"/>
      <c r="AB53" s="84"/>
      <c r="AC53" s="46"/>
      <c r="AD53" s="46"/>
      <c r="AE53" s="46"/>
      <c r="AF53" s="46"/>
      <c r="AG53" s="46"/>
      <c r="AH53" s="46"/>
      <c r="AI53" s="46"/>
      <c r="AJ53" s="46"/>
      <c r="AK53" s="47"/>
      <c r="AL53" s="46"/>
      <c r="AM53" s="46"/>
      <c r="AN53" s="45"/>
      <c r="AO53" s="45"/>
      <c r="AP53" s="45"/>
      <c r="AQ53" s="46"/>
      <c r="AR53" s="46"/>
      <c r="AS53" s="46"/>
      <c r="AT53" s="46"/>
      <c r="AU53" s="46"/>
      <c r="AV53" s="46"/>
      <c r="AW53" s="46"/>
      <c r="AX53" s="46"/>
      <c r="AY53" s="46"/>
      <c r="AZ53" s="46">
        <f>0.4*'[1]PUNTS PER PROGRAMA'!B22*0.9</f>
        <v>27.908180031837279</v>
      </c>
      <c r="BA53" s="46">
        <f>'[1]PUNTS PER PROGRAMA'!B22*0.1*0.25</f>
        <v>1.9380680577664777</v>
      </c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50"/>
      <c r="FA53" s="50"/>
      <c r="FB53" s="85"/>
      <c r="FC53" s="42"/>
      <c r="FD53" s="77"/>
      <c r="FE53" s="25">
        <f>SUM(D53:FB53)</f>
        <v>29.846248089603758</v>
      </c>
      <c r="FF53" s="35"/>
      <c r="FG53" s="27">
        <f t="shared" si="1"/>
        <v>27.908180031837279</v>
      </c>
      <c r="FH53" s="27">
        <f t="shared" si="2"/>
        <v>1.9380680577664777</v>
      </c>
      <c r="FI53" s="27">
        <f t="shared" si="3"/>
        <v>0</v>
      </c>
      <c r="FJ53" s="55" t="s">
        <v>143</v>
      </c>
      <c r="FK53" s="56" t="s">
        <v>144</v>
      </c>
    </row>
    <row r="54" spans="1:167" x14ac:dyDescent="0.3">
      <c r="A54" s="2"/>
      <c r="B54" s="2"/>
      <c r="C54" s="2"/>
      <c r="D54" s="35">
        <f t="shared" ref="D54:BO54" si="4">SUM(D4:D53)</f>
        <v>17.466711183230565</v>
      </c>
      <c r="E54" s="35">
        <f t="shared" si="4"/>
        <v>1.9407456870256183</v>
      </c>
      <c r="F54" s="35">
        <f t="shared" si="4"/>
        <v>11.021445098434537</v>
      </c>
      <c r="G54" s="35">
        <f t="shared" si="4"/>
        <v>9.2201967882538387</v>
      </c>
      <c r="H54" s="35">
        <f t="shared" si="4"/>
        <v>1.0244663098059821</v>
      </c>
      <c r="I54" s="35">
        <f t="shared" si="4"/>
        <v>5.5391927946347277</v>
      </c>
      <c r="J54" s="35">
        <f t="shared" si="4"/>
        <v>31.778104047489016</v>
      </c>
      <c r="K54" s="35">
        <f t="shared" si="4"/>
        <v>3.5309004497210021</v>
      </c>
      <c r="L54" s="35">
        <f t="shared" si="4"/>
        <v>6.8583686577478957</v>
      </c>
      <c r="M54" s="35">
        <f t="shared" si="4"/>
        <v>147.83726665570978</v>
      </c>
      <c r="N54" s="35">
        <f t="shared" si="4"/>
        <v>16.426362961745532</v>
      </c>
      <c r="O54" s="35">
        <f t="shared" si="4"/>
        <v>13.645454190392385</v>
      </c>
      <c r="P54" s="35">
        <f t="shared" si="4"/>
        <v>144.89562315161714</v>
      </c>
      <c r="Q54" s="35">
        <f t="shared" si="4"/>
        <v>16.099513683513017</v>
      </c>
      <c r="R54" s="35">
        <f t="shared" si="4"/>
        <v>18.473428254480538</v>
      </c>
      <c r="S54" s="35">
        <f t="shared" si="4"/>
        <v>4.6269433597961767</v>
      </c>
      <c r="T54" s="35">
        <f t="shared" si="4"/>
        <v>0.51410481775513073</v>
      </c>
      <c r="U54" s="35">
        <f t="shared" si="4"/>
        <v>5.2705814830290159</v>
      </c>
      <c r="V54" s="35">
        <f t="shared" si="4"/>
        <v>61.690168264282462</v>
      </c>
      <c r="W54" s="35">
        <f t="shared" si="4"/>
        <v>6.8544631404758292</v>
      </c>
      <c r="X54" s="35">
        <f t="shared" si="4"/>
        <v>8.6076121791978046</v>
      </c>
      <c r="Y54" s="35">
        <f t="shared" si="4"/>
        <v>26.25983145990989</v>
      </c>
      <c r="Z54" s="35">
        <f t="shared" si="4"/>
        <v>2.9177590511010987</v>
      </c>
      <c r="AA54" s="35">
        <f t="shared" si="4"/>
        <v>6.5356626584742621</v>
      </c>
      <c r="AB54" s="35">
        <f t="shared" si="4"/>
        <v>8.6755187996178318</v>
      </c>
      <c r="AC54" s="35">
        <f t="shared" si="4"/>
        <v>0.9639465332908701</v>
      </c>
      <c r="AD54" s="35">
        <f t="shared" si="4"/>
        <v>5.5073402806794052</v>
      </c>
      <c r="AE54" s="35">
        <f t="shared" si="4"/>
        <v>29.303974612042449</v>
      </c>
      <c r="AF54" s="35">
        <f t="shared" si="4"/>
        <v>3.2559971791158278</v>
      </c>
      <c r="AG54" s="35">
        <f t="shared" si="4"/>
        <v>6.7136827258504361</v>
      </c>
      <c r="AH54" s="35">
        <f t="shared" si="4"/>
        <v>66.039976995757513</v>
      </c>
      <c r="AI54" s="35">
        <f t="shared" si="4"/>
        <v>7.3377752217508352</v>
      </c>
      <c r="AJ54" s="35">
        <f t="shared" si="4"/>
        <v>8.8619869588162281</v>
      </c>
      <c r="AK54" s="86">
        <f t="shared" si="4"/>
        <v>45.924822712310288</v>
      </c>
      <c r="AL54" s="35">
        <f t="shared" si="4"/>
        <v>5.1027580791455875</v>
      </c>
      <c r="AM54" s="35">
        <f t="shared" si="4"/>
        <v>7.6856621469187303</v>
      </c>
      <c r="AN54" s="35">
        <f t="shared" si="4"/>
        <v>23.423900758968148</v>
      </c>
      <c r="AO54" s="35">
        <f t="shared" si="4"/>
        <v>2.60265563988535</v>
      </c>
      <c r="AP54" s="35">
        <f t="shared" si="4"/>
        <v>6.3698187578343948</v>
      </c>
      <c r="AQ54" s="35">
        <f t="shared" si="4"/>
        <v>68.009339042201418</v>
      </c>
      <c r="AR54" s="35">
        <f t="shared" si="4"/>
        <v>7.5565932269112679</v>
      </c>
      <c r="AS54" s="35">
        <f t="shared" si="4"/>
        <v>8.977154329953299</v>
      </c>
      <c r="AT54" s="35">
        <f t="shared" si="4"/>
        <v>85.497237770233738</v>
      </c>
      <c r="AU54" s="35">
        <f t="shared" si="4"/>
        <v>9.4996930855815265</v>
      </c>
      <c r="AV54" s="35">
        <f t="shared" si="4"/>
        <v>14.99983846609554</v>
      </c>
      <c r="AW54" s="35">
        <f t="shared" si="4"/>
        <v>62.582879148763134</v>
      </c>
      <c r="AX54" s="35">
        <f t="shared" si="4"/>
        <v>6.9536532387514605</v>
      </c>
      <c r="AY54" s="35">
        <f t="shared" si="4"/>
        <v>8.6598174940797161</v>
      </c>
      <c r="AZ54" s="35">
        <f t="shared" si="4"/>
        <v>69.770450079593189</v>
      </c>
      <c r="BA54" s="35">
        <f t="shared" si="4"/>
        <v>7.7522722310659109</v>
      </c>
      <c r="BB54" s="35">
        <f t="shared" si="4"/>
        <v>9.0801432795083734</v>
      </c>
      <c r="BC54" s="35">
        <f t="shared" si="4"/>
        <v>120.52512689695737</v>
      </c>
      <c r="BD54" s="35">
        <f t="shared" si="4"/>
        <v>13.391680766328598</v>
      </c>
      <c r="BE54" s="35">
        <f t="shared" si="4"/>
        <v>17.048253034909788</v>
      </c>
      <c r="BF54" s="35">
        <f t="shared" si="4"/>
        <v>88.160742535033066</v>
      </c>
      <c r="BG54" s="35">
        <f t="shared" si="4"/>
        <v>9.7956380594481178</v>
      </c>
      <c r="BH54" s="35">
        <f t="shared" si="4"/>
        <v>10.155598978656904</v>
      </c>
      <c r="BI54" s="35">
        <f t="shared" si="4"/>
        <v>65.136228923470654</v>
      </c>
      <c r="BJ54" s="35">
        <f t="shared" si="4"/>
        <v>7.2373587692745183</v>
      </c>
      <c r="BK54" s="35">
        <f t="shared" si="4"/>
        <v>8.8091361943550091</v>
      </c>
      <c r="BL54" s="35">
        <f t="shared" si="4"/>
        <v>52.651106669099327</v>
      </c>
      <c r="BM54" s="35">
        <f t="shared" si="4"/>
        <v>5.8501229632332592</v>
      </c>
      <c r="BN54" s="35">
        <f t="shared" si="4"/>
        <v>8.0790120859122414</v>
      </c>
      <c r="BO54" s="35">
        <f t="shared" si="4"/>
        <v>2.4291452638929929</v>
      </c>
      <c r="BP54" s="35">
        <f t="shared" ref="BP54:EA54" si="5">SUM(BP4:BP53)</f>
        <v>0.26990502932144367</v>
      </c>
      <c r="BQ54" s="35">
        <f t="shared" si="5"/>
        <v>0.14205527859023351</v>
      </c>
      <c r="BR54" s="35">
        <f t="shared" si="5"/>
        <v>52.350297513920573</v>
      </c>
      <c r="BS54" s="35">
        <f t="shared" si="5"/>
        <v>5.8166997237689522</v>
      </c>
      <c r="BT54" s="35">
        <f t="shared" si="5"/>
        <v>13.061420907246816</v>
      </c>
      <c r="BU54" s="35">
        <f t="shared" si="5"/>
        <v>24.705949648245003</v>
      </c>
      <c r="BV54" s="35">
        <f t="shared" si="5"/>
        <v>2.7451055164716673</v>
      </c>
      <c r="BW54" s="35">
        <f t="shared" si="5"/>
        <v>6.4447923770903515</v>
      </c>
      <c r="BX54" s="35">
        <f t="shared" si="5"/>
        <v>27.250768496132903</v>
      </c>
      <c r="BY54" s="35">
        <f t="shared" si="5"/>
        <v>3.027863166236989</v>
      </c>
      <c r="BZ54" s="35">
        <f t="shared" si="5"/>
        <v>11.593612192756311</v>
      </c>
      <c r="CA54" s="35">
        <f t="shared" si="5"/>
        <v>41.179795902185973</v>
      </c>
      <c r="CB54" s="35">
        <f t="shared" si="5"/>
        <v>4.5755328780206632</v>
      </c>
      <c r="CC54" s="35">
        <f t="shared" si="5"/>
        <v>7.4081751989582436</v>
      </c>
      <c r="CD54" s="35">
        <f t="shared" si="5"/>
        <v>44.687500942178119</v>
      </c>
      <c r="CE54" s="35">
        <f t="shared" si="5"/>
        <v>4.9652778824642354</v>
      </c>
      <c r="CF54" s="35">
        <f t="shared" si="5"/>
        <v>7.613304148665387</v>
      </c>
      <c r="CG54" s="35">
        <f t="shared" si="5"/>
        <v>20.647734743090442</v>
      </c>
      <c r="CH54" s="35">
        <f t="shared" si="5"/>
        <v>2.2941927492322711</v>
      </c>
      <c r="CI54" s="35">
        <f t="shared" si="5"/>
        <v>6.2074698680169851</v>
      </c>
      <c r="CJ54" s="35">
        <f t="shared" si="5"/>
        <v>21.211643465065599</v>
      </c>
      <c r="CK54" s="35">
        <f t="shared" si="5"/>
        <v>2.3568492738961777</v>
      </c>
      <c r="CL54" s="35">
        <f t="shared" si="5"/>
        <v>6.240446986261146</v>
      </c>
      <c r="CM54" s="35">
        <f t="shared" si="5"/>
        <v>34.004197187299411</v>
      </c>
      <c r="CN54" s="35">
        <f t="shared" si="5"/>
        <v>3.7782441319221571</v>
      </c>
      <c r="CO54" s="35">
        <f t="shared" si="5"/>
        <v>6.9885495431169247</v>
      </c>
      <c r="CP54" s="35">
        <f t="shared" si="5"/>
        <v>19.780182863128651</v>
      </c>
      <c r="CQ54" s="35">
        <f t="shared" si="5"/>
        <v>2.1977980959031838</v>
      </c>
      <c r="CR54" s="35">
        <f t="shared" si="5"/>
        <v>6.1567358399490439</v>
      </c>
      <c r="CS54" s="35">
        <f t="shared" si="5"/>
        <v>181.16938425422325</v>
      </c>
      <c r="CT54" s="35">
        <f t="shared" si="5"/>
        <v>20.129931583802584</v>
      </c>
      <c r="CU54" s="35">
        <f t="shared" si="5"/>
        <v>15.594700833580307</v>
      </c>
      <c r="CV54" s="35">
        <f t="shared" si="5"/>
        <v>25.632090198500205</v>
      </c>
      <c r="CW54" s="35">
        <f t="shared" si="5"/>
        <v>2.8480100220555786</v>
      </c>
      <c r="CX54" s="35">
        <f t="shared" si="5"/>
        <v>11.498952643187147</v>
      </c>
      <c r="CY54" s="35">
        <f t="shared" si="5"/>
        <v>75.640884467334573</v>
      </c>
      <c r="CZ54" s="35">
        <f t="shared" si="5"/>
        <v>8.4045427185927313</v>
      </c>
      <c r="DA54" s="35">
        <f t="shared" si="5"/>
        <v>14.423443536101438</v>
      </c>
      <c r="DB54" s="35">
        <f t="shared" si="5"/>
        <v>57.333129933807726</v>
      </c>
      <c r="DC54" s="35">
        <f t="shared" si="5"/>
        <v>6.3703477704230806</v>
      </c>
      <c r="DD54" s="35">
        <f t="shared" si="5"/>
        <v>8.3528146160121484</v>
      </c>
      <c r="DE54" s="35">
        <f t="shared" si="5"/>
        <v>44.293728783328802</v>
      </c>
      <c r="DF54" s="35">
        <f t="shared" si="5"/>
        <v>4.9215254203698668</v>
      </c>
      <c r="DG54" s="35">
        <f t="shared" si="5"/>
        <v>7.5902765370367717</v>
      </c>
      <c r="DH54" s="35">
        <f t="shared" si="5"/>
        <v>35.996173419414312</v>
      </c>
      <c r="DI54" s="35">
        <f t="shared" si="5"/>
        <v>3.9995748243793678</v>
      </c>
      <c r="DJ54" s="35">
        <f t="shared" si="5"/>
        <v>7.1050393812522987</v>
      </c>
      <c r="DK54" s="35">
        <f t="shared" si="5"/>
        <v>10.112965509526511</v>
      </c>
      <c r="DL54" s="35">
        <f t="shared" si="5"/>
        <v>1.1236628343918345</v>
      </c>
      <c r="DM54" s="35">
        <f t="shared" si="5"/>
        <v>5.5914014917851764</v>
      </c>
      <c r="DN54" s="35">
        <f t="shared" si="5"/>
        <v>118.40153215205639</v>
      </c>
      <c r="DO54" s="35">
        <f t="shared" si="5"/>
        <v>13.155725794672936</v>
      </c>
      <c r="DP54" s="35">
        <f t="shared" si="5"/>
        <v>11.924066207722598</v>
      </c>
      <c r="DQ54" s="35">
        <f t="shared" si="5"/>
        <v>37.590039733280108</v>
      </c>
      <c r="DR54" s="35">
        <f t="shared" si="5"/>
        <v>4.1766710814755674</v>
      </c>
      <c r="DS54" s="35">
        <f t="shared" si="5"/>
        <v>7.1982479376187207</v>
      </c>
      <c r="DT54" s="35">
        <f t="shared" si="5"/>
        <v>55.387941738525683</v>
      </c>
      <c r="DU54" s="35">
        <f t="shared" si="5"/>
        <v>6.1542157487250755</v>
      </c>
      <c r="DV54" s="35">
        <f t="shared" si="5"/>
        <v>8.2390609203816183</v>
      </c>
      <c r="DW54" s="35">
        <f t="shared" si="5"/>
        <v>89.153605536429595</v>
      </c>
      <c r="DX54" s="35">
        <f t="shared" si="5"/>
        <v>9.9059561707143988</v>
      </c>
      <c r="DY54" s="35">
        <f t="shared" si="5"/>
        <v>15.213661142481264</v>
      </c>
      <c r="DZ54" s="35">
        <f t="shared" si="5"/>
        <v>29.069338458481052</v>
      </c>
      <c r="EA54" s="35">
        <f t="shared" si="5"/>
        <v>3.2299264953867834</v>
      </c>
      <c r="EB54" s="35">
        <f t="shared" ref="EB54:FE54" si="6">SUM(EB4:EB53)</f>
        <v>6.6999613133614648</v>
      </c>
      <c r="EC54" s="35">
        <f t="shared" si="6"/>
        <v>38.33575841089926</v>
      </c>
      <c r="ED54" s="35">
        <f t="shared" si="6"/>
        <v>4.2595287123221395</v>
      </c>
      <c r="EE54" s="35">
        <f t="shared" si="6"/>
        <v>12.241857217011653</v>
      </c>
      <c r="EF54" s="35">
        <f t="shared" si="6"/>
        <v>9.6009074715770684</v>
      </c>
      <c r="EG54" s="35">
        <f t="shared" si="6"/>
        <v>1.0667674968418965</v>
      </c>
      <c r="EH54" s="35">
        <f t="shared" si="6"/>
        <v>5.5614565772852087</v>
      </c>
      <c r="EI54" s="35">
        <f t="shared" si="6"/>
        <v>4.4341540531380028</v>
      </c>
      <c r="EJ54" s="35">
        <f t="shared" si="6"/>
        <v>0.49268378368200039</v>
      </c>
      <c r="EK54" s="35">
        <f t="shared" si="6"/>
        <v>5.2593072545694737</v>
      </c>
      <c r="EL54" s="35">
        <f t="shared" si="6"/>
        <v>78</v>
      </c>
      <c r="EM54" s="35">
        <f t="shared" si="6"/>
        <v>0</v>
      </c>
      <c r="EN54" s="35">
        <f t="shared" si="6"/>
        <v>0</v>
      </c>
      <c r="EO54" s="35">
        <f t="shared" si="6"/>
        <v>0</v>
      </c>
      <c r="EP54" s="35">
        <f t="shared" si="6"/>
        <v>0</v>
      </c>
      <c r="EQ54" s="35">
        <f t="shared" si="6"/>
        <v>0</v>
      </c>
      <c r="ER54" s="35">
        <f t="shared" si="6"/>
        <v>0</v>
      </c>
      <c r="ES54" s="35">
        <f t="shared" si="6"/>
        <v>0</v>
      </c>
      <c r="ET54" s="35">
        <f t="shared" si="6"/>
        <v>0</v>
      </c>
      <c r="EU54" s="35">
        <f t="shared" si="6"/>
        <v>0</v>
      </c>
      <c r="EV54" s="35">
        <f t="shared" si="6"/>
        <v>0</v>
      </c>
      <c r="EW54" s="35">
        <f t="shared" si="6"/>
        <v>0</v>
      </c>
      <c r="EX54" s="35">
        <f t="shared" si="6"/>
        <v>0</v>
      </c>
      <c r="EY54" s="35">
        <f t="shared" si="6"/>
        <v>0</v>
      </c>
      <c r="EZ54" s="35">
        <f t="shared" si="6"/>
        <v>0</v>
      </c>
      <c r="FA54" s="35">
        <f t="shared" si="6"/>
        <v>0</v>
      </c>
      <c r="FB54" s="35">
        <f t="shared" si="6"/>
        <v>0</v>
      </c>
      <c r="FC54" s="35">
        <f t="shared" si="6"/>
        <v>0</v>
      </c>
      <c r="FD54" s="35">
        <f t="shared" si="6"/>
        <v>0</v>
      </c>
      <c r="FE54" s="35">
        <f t="shared" si="6"/>
        <v>3078.0000000000005</v>
      </c>
      <c r="FF54" s="35"/>
      <c r="FG54" s="35">
        <f>SUM(FG4:FG53)</f>
        <v>2329.8749999999991</v>
      </c>
      <c r="FH54" s="35">
        <f>SUM(FH4:FH53)</f>
        <v>258.87499999999989</v>
      </c>
      <c r="FI54" s="35">
        <f>SUM(FI4:FI53)</f>
        <v>489.25</v>
      </c>
      <c r="FJ54" s="2"/>
      <c r="FK54" s="2"/>
    </row>
    <row r="55" spans="1:167" x14ac:dyDescent="0.3">
      <c r="A55" s="2"/>
      <c r="B55" s="2"/>
      <c r="C55" s="2"/>
      <c r="D55" s="35"/>
      <c r="E55" s="35"/>
      <c r="F55" s="35">
        <f>D54+E54+F54</f>
        <v>30.42890196869072</v>
      </c>
      <c r="G55" s="35"/>
      <c r="H55" s="35"/>
      <c r="I55" s="35">
        <f>G54+H54+I54</f>
        <v>15.783855892694548</v>
      </c>
      <c r="J55" s="35"/>
      <c r="K55" s="35"/>
      <c r="L55" s="35">
        <f>J54+K54+L54</f>
        <v>42.167373154957914</v>
      </c>
      <c r="M55" s="35"/>
      <c r="N55" s="35"/>
      <c r="O55" s="35">
        <f>M54+N54+O54</f>
        <v>177.90908380784771</v>
      </c>
      <c r="P55" s="35"/>
      <c r="Q55" s="35"/>
      <c r="R55" s="35">
        <f>P54+Q54+R54</f>
        <v>179.46856508961071</v>
      </c>
      <c r="S55" s="35"/>
      <c r="T55" s="35"/>
      <c r="U55" s="35">
        <f>S54+T54+U54</f>
        <v>10.411629660580324</v>
      </c>
      <c r="V55" s="35"/>
      <c r="W55" s="35"/>
      <c r="X55" s="35">
        <f>V54+W54+X54</f>
        <v>77.152243583956093</v>
      </c>
      <c r="Y55" s="35"/>
      <c r="Z55" s="35"/>
      <c r="AA55" s="35">
        <f>Y54+Z54+AA54</f>
        <v>35.713253169485256</v>
      </c>
      <c r="AB55" s="35"/>
      <c r="AC55" s="35"/>
      <c r="AD55" s="35">
        <f>AB54+AC54+AD54</f>
        <v>15.146805613588107</v>
      </c>
      <c r="AE55" s="35"/>
      <c r="AF55" s="35"/>
      <c r="AG55" s="35">
        <f>AE54+AF54+AG54</f>
        <v>39.273654517008708</v>
      </c>
      <c r="AH55" s="35"/>
      <c r="AI55" s="35"/>
      <c r="AJ55" s="35">
        <f>AH54+AI54+AJ54</f>
        <v>82.239739176324576</v>
      </c>
      <c r="AK55" s="87"/>
      <c r="AL55" s="35"/>
      <c r="AM55" s="35">
        <f>AK54+AL54+AM54</f>
        <v>58.713242938374606</v>
      </c>
      <c r="AN55" s="35"/>
      <c r="AO55" s="35"/>
      <c r="AP55" s="35">
        <f>AN54+AO54+AP54</f>
        <v>32.396375156687895</v>
      </c>
      <c r="AQ55" s="35"/>
      <c r="AR55" s="35"/>
      <c r="AS55" s="35">
        <f>AQ54+AR54+AS54</f>
        <v>84.543086599065987</v>
      </c>
      <c r="AT55" s="35"/>
      <c r="AU55" s="35"/>
      <c r="AV55" s="35">
        <f>AT54+AU54+AV54</f>
        <v>109.9967693219108</v>
      </c>
      <c r="AW55" s="35"/>
      <c r="AX55" s="35"/>
      <c r="AY55" s="35">
        <f>AW54+AX54+AY54</f>
        <v>78.196349881594315</v>
      </c>
      <c r="AZ55" s="35"/>
      <c r="BA55" s="35"/>
      <c r="BB55" s="35">
        <f>AZ54+BA54+BB54</f>
        <v>86.602865590167482</v>
      </c>
      <c r="BC55" s="35"/>
      <c r="BD55" s="35"/>
      <c r="BE55" s="35">
        <f>BC54+BD54+BE54</f>
        <v>150.96506069819574</v>
      </c>
      <c r="BF55" s="35"/>
      <c r="BG55" s="35"/>
      <c r="BH55" s="35">
        <f>BF54+BG54+BH54</f>
        <v>108.11197957313809</v>
      </c>
      <c r="BI55" s="35"/>
      <c r="BJ55" s="35"/>
      <c r="BK55" s="35">
        <f>BI54+BJ54+BK54</f>
        <v>81.182723887100181</v>
      </c>
      <c r="BL55" s="35"/>
      <c r="BM55" s="35"/>
      <c r="BN55" s="35">
        <f>BL54+BM54+BN54</f>
        <v>66.580241718244835</v>
      </c>
      <c r="BO55" s="35"/>
      <c r="BP55" s="35"/>
      <c r="BQ55" s="35">
        <f>BO54+BP54+BQ54</f>
        <v>2.84110557180467</v>
      </c>
      <c r="BR55" s="35"/>
      <c r="BS55" s="35"/>
      <c r="BT55" s="35">
        <f>BR54+BS54+BT54</f>
        <v>71.228418144936342</v>
      </c>
      <c r="BU55" s="35"/>
      <c r="BV55" s="35"/>
      <c r="BW55" s="35">
        <f>BU54+BV54+BW54</f>
        <v>33.895847541807022</v>
      </c>
      <c r="BX55" s="35"/>
      <c r="BY55" s="35"/>
      <c r="BZ55" s="35">
        <f>BX54+BY54+BZ54</f>
        <v>41.8722438551262</v>
      </c>
      <c r="CA55" s="35"/>
      <c r="CB55" s="35"/>
      <c r="CC55" s="35">
        <f>CA54+CB54+CC54</f>
        <v>53.163503979164886</v>
      </c>
      <c r="CD55" s="35"/>
      <c r="CE55" s="35"/>
      <c r="CF55" s="35">
        <f>CD54+CE54+CF54</f>
        <v>57.266082973307739</v>
      </c>
      <c r="CG55" s="35"/>
      <c r="CH55" s="35"/>
      <c r="CI55" s="35">
        <f>CG54+CH54+CI54</f>
        <v>29.149397360339698</v>
      </c>
      <c r="CJ55" s="35"/>
      <c r="CK55" s="35"/>
      <c r="CL55" s="35">
        <f>CJ54+CK54+CL54</f>
        <v>29.80893972522292</v>
      </c>
      <c r="CM55" s="35"/>
      <c r="CN55" s="35"/>
      <c r="CO55" s="35">
        <f>CM54+CN54+CO54</f>
        <v>44.770990862338493</v>
      </c>
      <c r="CP55" s="35"/>
      <c r="CQ55" s="35"/>
      <c r="CR55" s="35">
        <f>CP54+CQ54+CR54</f>
        <v>28.134716798980879</v>
      </c>
      <c r="CS55" s="35"/>
      <c r="CT55" s="35"/>
      <c r="CU55" s="35">
        <f>CS54+CT54+CU54</f>
        <v>216.89401667160612</v>
      </c>
      <c r="CV55" s="35"/>
      <c r="CW55" s="35"/>
      <c r="CX55" s="35">
        <f>CV54+CW54+CX54</f>
        <v>39.979052863742929</v>
      </c>
      <c r="CY55" s="35"/>
      <c r="CZ55" s="35"/>
      <c r="DA55" s="35">
        <f>CY54+CZ54+DA54</f>
        <v>98.468870722028754</v>
      </c>
      <c r="DB55" s="35"/>
      <c r="DC55" s="35"/>
      <c r="DD55" s="35">
        <f>DB54+DC54+DD54</f>
        <v>72.05629232024296</v>
      </c>
      <c r="DE55" s="35"/>
      <c r="DF55" s="35"/>
      <c r="DG55" s="35">
        <f>DE54+DF54+DG54</f>
        <v>56.805530740735442</v>
      </c>
      <c r="DH55" s="35"/>
      <c r="DI55" s="35"/>
      <c r="DJ55" s="35">
        <f>DH54+DI54+DJ54</f>
        <v>47.100787625045974</v>
      </c>
      <c r="DK55" s="35"/>
      <c r="DL55" s="35"/>
      <c r="DM55" s="35">
        <f>DK54+DL54+DM54</f>
        <v>16.828029835703521</v>
      </c>
      <c r="DN55" s="35"/>
      <c r="DO55" s="35"/>
      <c r="DP55" s="35">
        <f>DN54+DO54+DP54</f>
        <v>143.48132415445193</v>
      </c>
      <c r="DQ55" s="35"/>
      <c r="DR55" s="35"/>
      <c r="DS55" s="35">
        <f>DQ54+DR54+DS54</f>
        <v>48.9649587523744</v>
      </c>
      <c r="DT55" s="35"/>
      <c r="DU55" s="35"/>
      <c r="DV55" s="35">
        <f>DT54+DU54+DV54</f>
        <v>69.78121840763238</v>
      </c>
      <c r="DW55" s="35"/>
      <c r="DX55" s="35"/>
      <c r="DY55" s="35">
        <f>DW54+DX54+DY54</f>
        <v>114.27322284962526</v>
      </c>
      <c r="DZ55" s="35"/>
      <c r="EA55" s="35"/>
      <c r="EB55" s="35">
        <f>DZ54+EA54+EB54</f>
        <v>38.999226267229297</v>
      </c>
      <c r="EC55" s="35"/>
      <c r="ED55" s="35"/>
      <c r="EE55" s="35">
        <f>EC54+ED54+EE54</f>
        <v>54.837144340233053</v>
      </c>
      <c r="EF55" s="35"/>
      <c r="EG55" s="35"/>
      <c r="EH55" s="35">
        <f>EF54+EG54+EH54</f>
        <v>16.229131545704174</v>
      </c>
      <c r="EI55" s="35"/>
      <c r="EJ55" s="35"/>
      <c r="EK55" s="35">
        <f>EI54+EJ54+EK54</f>
        <v>10.186145091389477</v>
      </c>
      <c r="EL55" s="35"/>
      <c r="EM55" s="35"/>
      <c r="EN55" s="35"/>
      <c r="EO55" s="35">
        <f>EM54+EN54+EO54</f>
        <v>0</v>
      </c>
      <c r="EP55" s="35"/>
      <c r="EQ55" s="35"/>
      <c r="ER55" s="35">
        <f>EP54+EQ54+ER54</f>
        <v>0</v>
      </c>
      <c r="ES55" s="35"/>
      <c r="ET55" s="35"/>
      <c r="EU55" s="35">
        <f>ES54+ET54+EU54</f>
        <v>0</v>
      </c>
      <c r="EV55" s="35"/>
      <c r="EW55" s="35"/>
      <c r="EX55" s="35">
        <f>EV54+EW54+EX54</f>
        <v>0</v>
      </c>
      <c r="EY55" s="35"/>
      <c r="EZ55" s="35"/>
      <c r="FA55" s="35">
        <f>EY54+EZ54+FA54</f>
        <v>0</v>
      </c>
      <c r="FB55" s="35"/>
      <c r="FC55" s="35"/>
      <c r="FD55" s="35">
        <f>FB54+FC54+FD54</f>
        <v>0</v>
      </c>
      <c r="FE55" s="35"/>
      <c r="FF55" s="35"/>
      <c r="FG55" s="35"/>
      <c r="FH55" s="35"/>
      <c r="FI55" s="35"/>
      <c r="FJ55" s="2"/>
      <c r="FK55" s="2"/>
    </row>
    <row r="56" spans="1:167" ht="15" thickBot="1" x14ac:dyDescent="0.35">
      <c r="A56" s="2"/>
      <c r="B56" s="2"/>
      <c r="C56" s="2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87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2"/>
      <c r="FK56" s="2"/>
    </row>
    <row r="57" spans="1:167" ht="15" thickBot="1" x14ac:dyDescent="0.35">
      <c r="A57" s="88" t="s">
        <v>145</v>
      </c>
      <c r="B57" s="88"/>
      <c r="C57" s="88"/>
      <c r="D57" s="89">
        <f t="shared" ref="D57:CU57" si="7">D54</f>
        <v>17.466711183230565</v>
      </c>
      <c r="E57" s="89">
        <f t="shared" si="7"/>
        <v>1.9407456870256183</v>
      </c>
      <c r="F57" s="89">
        <f t="shared" si="7"/>
        <v>11.021445098434537</v>
      </c>
      <c r="G57" s="89">
        <f t="shared" si="7"/>
        <v>9.2201967882538387</v>
      </c>
      <c r="H57" s="89">
        <f t="shared" si="7"/>
        <v>1.0244663098059821</v>
      </c>
      <c r="I57" s="89">
        <f t="shared" si="7"/>
        <v>5.5391927946347277</v>
      </c>
      <c r="J57" s="89">
        <f t="shared" si="7"/>
        <v>31.778104047489016</v>
      </c>
      <c r="K57" s="89">
        <f t="shared" si="7"/>
        <v>3.5309004497210021</v>
      </c>
      <c r="L57" s="89">
        <f t="shared" si="7"/>
        <v>6.8583686577478957</v>
      </c>
      <c r="M57" s="89">
        <f t="shared" si="7"/>
        <v>147.83726665570978</v>
      </c>
      <c r="N57" s="89">
        <f t="shared" si="7"/>
        <v>16.426362961745532</v>
      </c>
      <c r="O57" s="89">
        <f t="shared" si="7"/>
        <v>13.645454190392385</v>
      </c>
      <c r="P57" s="89">
        <f t="shared" si="7"/>
        <v>144.89562315161714</v>
      </c>
      <c r="Q57" s="89">
        <f t="shared" si="7"/>
        <v>16.099513683513017</v>
      </c>
      <c r="R57" s="89">
        <f t="shared" si="7"/>
        <v>18.473428254480538</v>
      </c>
      <c r="S57" s="89">
        <f t="shared" si="7"/>
        <v>4.6269433597961767</v>
      </c>
      <c r="T57" s="89">
        <f t="shared" si="7"/>
        <v>0.51410481775513073</v>
      </c>
      <c r="U57" s="89">
        <f t="shared" si="7"/>
        <v>5.2705814830290159</v>
      </c>
      <c r="V57" s="89">
        <f t="shared" si="7"/>
        <v>61.690168264282462</v>
      </c>
      <c r="W57" s="89">
        <f t="shared" si="7"/>
        <v>6.8544631404758292</v>
      </c>
      <c r="X57" s="89">
        <f t="shared" si="7"/>
        <v>8.6076121791978046</v>
      </c>
      <c r="Y57" s="89">
        <f t="shared" si="7"/>
        <v>26.25983145990989</v>
      </c>
      <c r="Z57" s="89">
        <f t="shared" si="7"/>
        <v>2.9177590511010987</v>
      </c>
      <c r="AA57" s="89">
        <f t="shared" si="7"/>
        <v>6.5356626584742621</v>
      </c>
      <c r="AB57" s="89">
        <f t="shared" si="7"/>
        <v>8.6755187996178318</v>
      </c>
      <c r="AC57" s="89">
        <f t="shared" si="7"/>
        <v>0.9639465332908701</v>
      </c>
      <c r="AD57" s="89">
        <f t="shared" si="7"/>
        <v>5.5073402806794052</v>
      </c>
      <c r="AE57" s="89">
        <f t="shared" si="7"/>
        <v>29.303974612042449</v>
      </c>
      <c r="AF57" s="89">
        <f t="shared" si="7"/>
        <v>3.2559971791158278</v>
      </c>
      <c r="AG57" s="89">
        <f t="shared" si="7"/>
        <v>6.7136827258504361</v>
      </c>
      <c r="AH57" s="89">
        <f t="shared" si="7"/>
        <v>66.039976995757513</v>
      </c>
      <c r="AI57" s="89">
        <f t="shared" si="7"/>
        <v>7.3377752217508352</v>
      </c>
      <c r="AJ57" s="89">
        <f t="shared" si="7"/>
        <v>8.8619869588162281</v>
      </c>
      <c r="AK57" s="89">
        <f t="shared" si="7"/>
        <v>45.924822712310288</v>
      </c>
      <c r="AL57" s="89">
        <f t="shared" si="7"/>
        <v>5.1027580791455875</v>
      </c>
      <c r="AM57" s="89">
        <f t="shared" si="7"/>
        <v>7.6856621469187303</v>
      </c>
      <c r="AN57" s="89">
        <f t="shared" si="7"/>
        <v>23.423900758968148</v>
      </c>
      <c r="AO57" s="89">
        <f t="shared" si="7"/>
        <v>2.60265563988535</v>
      </c>
      <c r="AP57" s="89">
        <f t="shared" si="7"/>
        <v>6.3698187578343948</v>
      </c>
      <c r="AQ57" s="89">
        <f t="shared" si="7"/>
        <v>68.009339042201418</v>
      </c>
      <c r="AR57" s="89">
        <f t="shared" si="7"/>
        <v>7.5565932269112679</v>
      </c>
      <c r="AS57" s="89">
        <f t="shared" si="7"/>
        <v>8.977154329953299</v>
      </c>
      <c r="AT57" s="89">
        <f t="shared" si="7"/>
        <v>85.497237770233738</v>
      </c>
      <c r="AU57" s="89">
        <f t="shared" si="7"/>
        <v>9.4996930855815265</v>
      </c>
      <c r="AV57" s="89">
        <f t="shared" si="7"/>
        <v>14.99983846609554</v>
      </c>
      <c r="AW57" s="89">
        <f t="shared" si="7"/>
        <v>62.582879148763134</v>
      </c>
      <c r="AX57" s="89">
        <f t="shared" si="7"/>
        <v>6.9536532387514605</v>
      </c>
      <c r="AY57" s="89">
        <f t="shared" si="7"/>
        <v>8.6598174940797161</v>
      </c>
      <c r="AZ57" s="89">
        <f t="shared" si="7"/>
        <v>69.770450079593189</v>
      </c>
      <c r="BA57" s="89">
        <f t="shared" si="7"/>
        <v>7.7522722310659109</v>
      </c>
      <c r="BB57" s="89">
        <f t="shared" si="7"/>
        <v>9.0801432795083734</v>
      </c>
      <c r="BC57" s="89">
        <f t="shared" si="7"/>
        <v>120.52512689695737</v>
      </c>
      <c r="BD57" s="89">
        <f t="shared" si="7"/>
        <v>13.391680766328598</v>
      </c>
      <c r="BE57" s="89">
        <f t="shared" si="7"/>
        <v>17.048253034909788</v>
      </c>
      <c r="BF57" s="89">
        <f t="shared" si="7"/>
        <v>88.160742535033066</v>
      </c>
      <c r="BG57" s="89">
        <f t="shared" si="7"/>
        <v>9.7956380594481178</v>
      </c>
      <c r="BH57" s="89">
        <f t="shared" si="7"/>
        <v>10.155598978656904</v>
      </c>
      <c r="BI57" s="89">
        <f t="shared" si="7"/>
        <v>65.136228923470654</v>
      </c>
      <c r="BJ57" s="89">
        <f t="shared" si="7"/>
        <v>7.2373587692745183</v>
      </c>
      <c r="BK57" s="89">
        <f t="shared" si="7"/>
        <v>8.8091361943550091</v>
      </c>
      <c r="BL57" s="89">
        <f t="shared" si="7"/>
        <v>52.651106669099327</v>
      </c>
      <c r="BM57" s="89">
        <f t="shared" si="7"/>
        <v>5.8501229632332592</v>
      </c>
      <c r="BN57" s="89">
        <f t="shared" si="7"/>
        <v>8.0790120859122414</v>
      </c>
      <c r="BO57" s="89">
        <f t="shared" si="7"/>
        <v>2.4291452638929929</v>
      </c>
      <c r="BP57" s="89">
        <f t="shared" si="7"/>
        <v>0.26990502932144367</v>
      </c>
      <c r="BQ57" s="89">
        <f t="shared" si="7"/>
        <v>0.14205527859023351</v>
      </c>
      <c r="BR57" s="89">
        <f t="shared" si="7"/>
        <v>52.350297513920573</v>
      </c>
      <c r="BS57" s="89">
        <f t="shared" si="7"/>
        <v>5.8166997237689522</v>
      </c>
      <c r="BT57" s="89">
        <f t="shared" si="7"/>
        <v>13.061420907246816</v>
      </c>
      <c r="BU57" s="89">
        <f t="shared" si="7"/>
        <v>24.705949648245003</v>
      </c>
      <c r="BV57" s="89">
        <f t="shared" si="7"/>
        <v>2.7451055164716673</v>
      </c>
      <c r="BW57" s="89">
        <f t="shared" si="7"/>
        <v>6.4447923770903515</v>
      </c>
      <c r="BX57" s="89">
        <f t="shared" si="7"/>
        <v>27.250768496132903</v>
      </c>
      <c r="BY57" s="89">
        <f t="shared" si="7"/>
        <v>3.027863166236989</v>
      </c>
      <c r="BZ57" s="89">
        <f t="shared" si="7"/>
        <v>11.593612192756311</v>
      </c>
      <c r="CA57" s="89">
        <f>CA54</f>
        <v>41.179795902185973</v>
      </c>
      <c r="CB57" s="89">
        <f>CB54</f>
        <v>4.5755328780206632</v>
      </c>
      <c r="CC57" s="89">
        <f t="shared" si="7"/>
        <v>7.4081751989582436</v>
      </c>
      <c r="CD57" s="89">
        <f t="shared" si="7"/>
        <v>44.687500942178119</v>
      </c>
      <c r="CE57" s="89">
        <f t="shared" si="7"/>
        <v>4.9652778824642354</v>
      </c>
      <c r="CF57" s="89">
        <f t="shared" si="7"/>
        <v>7.613304148665387</v>
      </c>
      <c r="CG57" s="89">
        <f t="shared" si="7"/>
        <v>20.647734743090442</v>
      </c>
      <c r="CH57" s="89">
        <f t="shared" si="7"/>
        <v>2.2941927492322711</v>
      </c>
      <c r="CI57" s="89">
        <f t="shared" si="7"/>
        <v>6.2074698680169851</v>
      </c>
      <c r="CJ57" s="89">
        <f t="shared" si="7"/>
        <v>21.211643465065599</v>
      </c>
      <c r="CK57" s="89">
        <f t="shared" si="7"/>
        <v>2.3568492738961777</v>
      </c>
      <c r="CL57" s="89">
        <f t="shared" si="7"/>
        <v>6.240446986261146</v>
      </c>
      <c r="CM57" s="89">
        <f t="shared" si="7"/>
        <v>34.004197187299411</v>
      </c>
      <c r="CN57" s="89">
        <f t="shared" si="7"/>
        <v>3.7782441319221571</v>
      </c>
      <c r="CO57" s="89">
        <f t="shared" si="7"/>
        <v>6.9885495431169247</v>
      </c>
      <c r="CP57" s="89">
        <f t="shared" si="7"/>
        <v>19.780182863128651</v>
      </c>
      <c r="CQ57" s="89">
        <f t="shared" si="7"/>
        <v>2.1977980959031838</v>
      </c>
      <c r="CR57" s="89">
        <f t="shared" si="7"/>
        <v>6.1567358399490439</v>
      </c>
      <c r="CS57" s="89">
        <f t="shared" si="7"/>
        <v>181.16938425422325</v>
      </c>
      <c r="CT57" s="89">
        <f t="shared" si="7"/>
        <v>20.129931583802584</v>
      </c>
      <c r="CU57" s="89">
        <f t="shared" si="7"/>
        <v>15.594700833580307</v>
      </c>
      <c r="CV57" s="89">
        <f t="shared" ref="CV57:FA57" si="8">CV54</f>
        <v>25.632090198500205</v>
      </c>
      <c r="CW57" s="89">
        <f t="shared" si="8"/>
        <v>2.8480100220555786</v>
      </c>
      <c r="CX57" s="89">
        <f t="shared" si="8"/>
        <v>11.498952643187147</v>
      </c>
      <c r="CY57" s="89">
        <f t="shared" si="8"/>
        <v>75.640884467334573</v>
      </c>
      <c r="CZ57" s="89">
        <f t="shared" si="8"/>
        <v>8.4045427185927313</v>
      </c>
      <c r="DA57" s="89">
        <f t="shared" si="8"/>
        <v>14.423443536101438</v>
      </c>
      <c r="DB57" s="89">
        <f t="shared" si="8"/>
        <v>57.333129933807726</v>
      </c>
      <c r="DC57" s="89">
        <f t="shared" si="8"/>
        <v>6.3703477704230806</v>
      </c>
      <c r="DD57" s="89">
        <f t="shared" si="8"/>
        <v>8.3528146160121484</v>
      </c>
      <c r="DE57" s="89">
        <f t="shared" si="8"/>
        <v>44.293728783328802</v>
      </c>
      <c r="DF57" s="89">
        <f t="shared" si="8"/>
        <v>4.9215254203698668</v>
      </c>
      <c r="DG57" s="89">
        <f t="shared" si="8"/>
        <v>7.5902765370367717</v>
      </c>
      <c r="DH57" s="89">
        <f t="shared" si="8"/>
        <v>35.996173419414312</v>
      </c>
      <c r="DI57" s="89">
        <f t="shared" si="8"/>
        <v>3.9995748243793678</v>
      </c>
      <c r="DJ57" s="89">
        <f t="shared" si="8"/>
        <v>7.1050393812522987</v>
      </c>
      <c r="DK57" s="89">
        <f t="shared" si="8"/>
        <v>10.112965509526511</v>
      </c>
      <c r="DL57" s="89">
        <f t="shared" si="8"/>
        <v>1.1236628343918345</v>
      </c>
      <c r="DM57" s="89">
        <f t="shared" si="8"/>
        <v>5.5914014917851764</v>
      </c>
      <c r="DN57" s="89">
        <f t="shared" si="8"/>
        <v>118.40153215205639</v>
      </c>
      <c r="DO57" s="89">
        <f t="shared" si="8"/>
        <v>13.155725794672936</v>
      </c>
      <c r="DP57" s="89">
        <f t="shared" si="8"/>
        <v>11.924066207722598</v>
      </c>
      <c r="DQ57" s="89">
        <f t="shared" si="8"/>
        <v>37.590039733280108</v>
      </c>
      <c r="DR57" s="89">
        <f t="shared" si="8"/>
        <v>4.1766710814755674</v>
      </c>
      <c r="DS57" s="89">
        <f t="shared" si="8"/>
        <v>7.1982479376187207</v>
      </c>
      <c r="DT57" s="89">
        <f t="shared" si="8"/>
        <v>55.387941738525683</v>
      </c>
      <c r="DU57" s="89">
        <f t="shared" si="8"/>
        <v>6.1542157487250755</v>
      </c>
      <c r="DV57" s="89">
        <f t="shared" si="8"/>
        <v>8.2390609203816183</v>
      </c>
      <c r="DW57" s="89">
        <f t="shared" si="8"/>
        <v>89.153605536429595</v>
      </c>
      <c r="DX57" s="89">
        <f t="shared" si="8"/>
        <v>9.9059561707143988</v>
      </c>
      <c r="DY57" s="89">
        <f t="shared" si="8"/>
        <v>15.213661142481264</v>
      </c>
      <c r="DZ57" s="89">
        <f t="shared" si="8"/>
        <v>29.069338458481052</v>
      </c>
      <c r="EA57" s="89">
        <f t="shared" si="8"/>
        <v>3.2299264953867834</v>
      </c>
      <c r="EB57" s="89">
        <f t="shared" si="8"/>
        <v>6.6999613133614648</v>
      </c>
      <c r="EC57" s="89">
        <f t="shared" si="8"/>
        <v>38.33575841089926</v>
      </c>
      <c r="ED57" s="89">
        <f t="shared" si="8"/>
        <v>4.2595287123221395</v>
      </c>
      <c r="EE57" s="89">
        <f t="shared" si="8"/>
        <v>12.241857217011653</v>
      </c>
      <c r="EF57" s="89">
        <f t="shared" si="8"/>
        <v>9.6009074715770684</v>
      </c>
      <c r="EG57" s="89">
        <f t="shared" si="8"/>
        <v>1.0667674968418965</v>
      </c>
      <c r="EH57" s="89">
        <f>EH54</f>
        <v>5.5614565772852087</v>
      </c>
      <c r="EI57" s="89">
        <f t="shared" ref="EI57:EJ57" si="9">EI54</f>
        <v>4.4341540531380028</v>
      </c>
      <c r="EJ57" s="89">
        <f t="shared" si="9"/>
        <v>0.49268378368200039</v>
      </c>
      <c r="EK57" s="89">
        <f>EK54</f>
        <v>5.2593072545694737</v>
      </c>
      <c r="EL57" s="89">
        <f t="shared" si="8"/>
        <v>78</v>
      </c>
      <c r="EM57" s="89">
        <f t="shared" si="8"/>
        <v>0</v>
      </c>
      <c r="EN57" s="89">
        <f t="shared" si="8"/>
        <v>0</v>
      </c>
      <c r="EO57" s="89">
        <f t="shared" si="8"/>
        <v>0</v>
      </c>
      <c r="EP57" s="89">
        <f t="shared" si="8"/>
        <v>0</v>
      </c>
      <c r="EQ57" s="89">
        <f t="shared" si="8"/>
        <v>0</v>
      </c>
      <c r="ER57" s="89">
        <f t="shared" si="8"/>
        <v>0</v>
      </c>
      <c r="ES57" s="89">
        <f t="shared" si="8"/>
        <v>0</v>
      </c>
      <c r="ET57" s="89">
        <f t="shared" si="8"/>
        <v>0</v>
      </c>
      <c r="EU57" s="89">
        <f t="shared" si="8"/>
        <v>0</v>
      </c>
      <c r="EV57" s="89">
        <f t="shared" si="8"/>
        <v>0</v>
      </c>
      <c r="EW57" s="89">
        <f t="shared" si="8"/>
        <v>0</v>
      </c>
      <c r="EX57" s="89">
        <f t="shared" si="8"/>
        <v>0</v>
      </c>
      <c r="EY57" s="89">
        <f t="shared" si="8"/>
        <v>0</v>
      </c>
      <c r="EZ57" s="89">
        <f t="shared" si="8"/>
        <v>0</v>
      </c>
      <c r="FA57" s="89">
        <f t="shared" si="8"/>
        <v>0</v>
      </c>
      <c r="FB57" s="89">
        <f>FB54</f>
        <v>0</v>
      </c>
      <c r="FC57" s="89">
        <f>FC54</f>
        <v>0</v>
      </c>
      <c r="FD57" s="89">
        <f>FD54</f>
        <v>0</v>
      </c>
      <c r="FE57" s="90">
        <f>SUM(D57:FD57)</f>
        <v>3078.0000000000005</v>
      </c>
      <c r="FF57" s="35"/>
      <c r="FG57" s="91">
        <f>FG54</f>
        <v>2329.8749999999991</v>
      </c>
      <c r="FH57" s="91">
        <f>FH54</f>
        <v>258.87499999999989</v>
      </c>
      <c r="FI57" s="91">
        <f>FI54</f>
        <v>489.25</v>
      </c>
      <c r="FJ57" s="90">
        <f>FG57+FH57+FI57</f>
        <v>3077.9999999999991</v>
      </c>
      <c r="FK57" s="2"/>
    </row>
  </sheetData>
  <mergeCells count="54">
    <mergeCell ref="EY2:FA2"/>
    <mergeCell ref="FB2:FD2"/>
    <mergeCell ref="EF2:EH2"/>
    <mergeCell ref="EI2:EK2"/>
    <mergeCell ref="EM2:EO2"/>
    <mergeCell ref="EP2:ER2"/>
    <mergeCell ref="ES2:EU2"/>
    <mergeCell ref="EV2:EX2"/>
    <mergeCell ref="EC2:EE2"/>
    <mergeCell ref="CV2:CX2"/>
    <mergeCell ref="CY2:DA2"/>
    <mergeCell ref="DB2:DD2"/>
    <mergeCell ref="DE2:DG2"/>
    <mergeCell ref="DH2:DJ2"/>
    <mergeCell ref="DK2:DM2"/>
    <mergeCell ref="DN2:DP2"/>
    <mergeCell ref="DQ2:DS2"/>
    <mergeCell ref="DT2:DV2"/>
    <mergeCell ref="DW2:DY2"/>
    <mergeCell ref="DZ2:EB2"/>
    <mergeCell ref="BF2:BH2"/>
    <mergeCell ref="CS2:CU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R2"/>
    <mergeCell ref="AQ2:AS2"/>
    <mergeCell ref="AT2:AV2"/>
    <mergeCell ref="AW2:AY2"/>
    <mergeCell ref="AZ2:BB2"/>
    <mergeCell ref="BC2:BE2"/>
    <mergeCell ref="D1:FB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BI2:BK2"/>
    <mergeCell ref="AB2:AD2"/>
    <mergeCell ref="AE2:AG2"/>
    <mergeCell ref="AH2:AJ2"/>
    <mergeCell ref="AK2:AM2"/>
    <mergeCell ref="AN2:A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Sheet1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jmate</dc:creator>
  <cp:lastModifiedBy>UPC</cp:lastModifiedBy>
  <dcterms:created xsi:type="dcterms:W3CDTF">2023-03-01T16:46:59Z</dcterms:created>
  <dcterms:modified xsi:type="dcterms:W3CDTF">2023-03-13T08:53:56Z</dcterms:modified>
</cp:coreProperties>
</file>