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charts/chart18.xml" ContentType="application/vnd.openxmlformats-officedocument.drawingml.chart+xml"/>
  <Override PartName="/xl/theme/themeOverride12.xml" ContentType="application/vnd.openxmlformats-officedocument.themeOverride+xml"/>
  <Override PartName="/xl/charts/chart19.xml" ContentType="application/vnd.openxmlformats-officedocument.drawingml.chart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theme/themeOverride14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15.xml" ContentType="application/vnd.openxmlformats-officedocument.themeOverride+xml"/>
  <Override PartName="/xl/charts/chart25.xml" ContentType="application/vnd.openxmlformats-officedocument.drawingml.chart+xml"/>
  <Override PartName="/xl/theme/themeOverride16.xml" ContentType="application/vnd.openxmlformats-officedocument.themeOverride+xml"/>
  <Override PartName="/xl/charts/chart26.xml" ContentType="application/vnd.openxmlformats-officedocument.drawingml.chart+xml"/>
  <Override PartName="/xl/theme/themeOverride17.xml" ContentType="application/vnd.openxmlformats-officedocument.themeOverride+xml"/>
  <Override PartName="/xl/charts/chart27.xml" ContentType="application/vnd.openxmlformats-officedocument.drawingml.chart+xml"/>
  <Override PartName="/xl/theme/themeOverride18.xml" ContentType="application/vnd.openxmlformats-officedocument.themeOverride+xml"/>
  <Override PartName="/xl/charts/chart28.xml" ContentType="application/vnd.openxmlformats-officedocument.drawingml.chart+xml"/>
  <Override PartName="/xl/theme/themeOverride19.xml" ContentType="application/vnd.openxmlformats-officedocument.themeOverride+xml"/>
  <Override PartName="/xl/charts/chart29.xml" ContentType="application/vnd.openxmlformats-officedocument.drawingml.chart+xml"/>
  <Override PartName="/xl/theme/themeOverride20.xml" ContentType="application/vnd.openxmlformats-officedocument.themeOverride+xml"/>
  <Override PartName="/xl/charts/chart30.xml" ContentType="application/vnd.openxmlformats-officedocument.drawingml.chart+xml"/>
  <Override PartName="/xl/theme/themeOverride21.xml" ContentType="application/vnd.openxmlformats-officedocument.themeOverride+xml"/>
  <Override PartName="/xl/charts/chart31.xml" ContentType="application/vnd.openxmlformats-officedocument.drawingml.chart+xml"/>
  <Override PartName="/xl/theme/themeOverride22.xml" ContentType="application/vnd.openxmlformats-officedocument.themeOverride+xml"/>
  <Override PartName="/xl/charts/chart32.xml" ContentType="application/vnd.openxmlformats-officedocument.drawingml.chart+xml"/>
  <Override PartName="/xl/theme/themeOverride23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24.xml" ContentType="application/vnd.openxmlformats-officedocument.themeOverride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25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26.xml" ContentType="application/vnd.openxmlformats-officedocument.themeOverride+xml"/>
  <Override PartName="/xl/charts/chart39.xml" ContentType="application/vnd.openxmlformats-officedocument.drawingml.chart+xml"/>
  <Override PartName="/xl/theme/themeOverride27.xml" ContentType="application/vnd.openxmlformats-officedocument.themeOverride+xml"/>
  <Override PartName="/xl/charts/chart40.xml" ContentType="application/vnd.openxmlformats-officedocument.drawingml.chart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theme/themeOverride28.xml" ContentType="application/vnd.openxmlformats-officedocument.themeOverride+xml"/>
  <Override PartName="/xl/charts/chart42.xml" ContentType="application/vnd.openxmlformats-officedocument.drawingml.chart+xml"/>
  <Override PartName="/xl/theme/themeOverride29.xml" ContentType="application/vnd.openxmlformats-officedocument.themeOverride+xml"/>
  <Override PartName="/xl/charts/chart43.xml" ContentType="application/vnd.openxmlformats-officedocument.drawingml.chart+xml"/>
  <Override PartName="/xl/theme/themeOverride30.xml" ContentType="application/vnd.openxmlformats-officedocument.themeOverride+xml"/>
  <Override PartName="/xl/charts/chart44.xml" ContentType="application/vnd.openxmlformats-officedocument.drawingml.chart+xml"/>
  <Override PartName="/xl/theme/themeOverride31.xml" ContentType="application/vnd.openxmlformats-officedocument.themeOverride+xml"/>
  <Override PartName="/xl/charts/chart45.xml" ContentType="application/vnd.openxmlformats-officedocument.drawingml.chart+xml"/>
  <Override PartName="/xl/theme/themeOverride32.xml" ContentType="application/vnd.openxmlformats-officedocument.themeOverride+xml"/>
  <Override PartName="/xl/charts/chart46.xml" ContentType="application/vnd.openxmlformats-officedocument.drawingml.chart+xml"/>
  <Override PartName="/xl/theme/themeOverride33.xml" ContentType="application/vnd.openxmlformats-officedocument.themeOverride+xml"/>
  <Override PartName="/xl/charts/chart47.xml" ContentType="application/vnd.openxmlformats-officedocument.drawingml.chart+xml"/>
  <Override PartName="/xl/theme/themeOverride34.xml" ContentType="application/vnd.openxmlformats-officedocument.themeOverride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40" windowHeight="7875"/>
  </bookViews>
  <sheets>
    <sheet name="Fitxa Tècnica" sheetId="7" r:id="rId1"/>
    <sheet name="Resum" sheetId="9" r:id="rId2"/>
    <sheet name="Index" sheetId="4" r:id="rId3"/>
    <sheet name="Taules" sheetId="1" r:id="rId4"/>
    <sheet name="Gràfics" sheetId="2" r:id="rId5"/>
    <sheet name="Comparativa" sheetId="3" r:id="rId6"/>
    <sheet name="Taules comparativa" sheetId="6" state="hidden" r:id="rId7"/>
  </sheets>
  <definedNames>
    <definedName name="_xlnm.Print_Area" localSheetId="5">Comparativa!#REF!</definedName>
  </definedNames>
  <calcPr calcId="145621"/>
</workbook>
</file>

<file path=xl/calcChain.xml><?xml version="1.0" encoding="utf-8"?>
<calcChain xmlns="http://schemas.openxmlformats.org/spreadsheetml/2006/main">
  <c r="C54" i="6" l="1"/>
  <c r="L54" i="6"/>
  <c r="I54" i="6"/>
  <c r="O54" i="6"/>
  <c r="F54" i="6"/>
  <c r="E89" i="6"/>
  <c r="H60" i="6"/>
  <c r="H58" i="6"/>
  <c r="J60" i="6"/>
  <c r="J58" i="6"/>
  <c r="K75" i="6"/>
  <c r="L116" i="6"/>
  <c r="M116" i="6"/>
  <c r="K116" i="6"/>
  <c r="E105" i="6"/>
  <c r="E104" i="6"/>
  <c r="E103" i="6"/>
  <c r="E102" i="6"/>
  <c r="E93" i="6"/>
  <c r="E92" i="6"/>
  <c r="E91" i="6"/>
  <c r="E90" i="6"/>
  <c r="C17" i="6"/>
  <c r="B127" i="6" s="1"/>
  <c r="B2" i="3"/>
  <c r="B2" i="2"/>
  <c r="B2" i="4"/>
  <c r="B2" i="9"/>
  <c r="B2" i="1"/>
  <c r="E361" i="2"/>
  <c r="G361" i="2"/>
  <c r="I361" i="2"/>
  <c r="K361" i="2"/>
  <c r="M361" i="2"/>
  <c r="O361" i="2"/>
  <c r="Q361" i="2"/>
  <c r="S361" i="2"/>
  <c r="U361" i="2"/>
  <c r="J265" i="2"/>
  <c r="C939" i="2"/>
  <c r="C910" i="2"/>
  <c r="C881" i="2"/>
  <c r="C851" i="2"/>
  <c r="C785" i="2"/>
  <c r="D723" i="2"/>
  <c r="E723" i="2"/>
  <c r="F723" i="2"/>
  <c r="G723" i="2"/>
  <c r="H723" i="2"/>
  <c r="I723" i="2"/>
  <c r="J723" i="2"/>
  <c r="K723" i="2"/>
  <c r="L723" i="2"/>
  <c r="C723" i="2"/>
  <c r="E694" i="2"/>
  <c r="D694" i="2"/>
  <c r="L695" i="2"/>
  <c r="K695" i="2"/>
  <c r="J695" i="2"/>
  <c r="I695" i="2"/>
  <c r="H695" i="2"/>
  <c r="G695" i="2"/>
  <c r="F695" i="2"/>
  <c r="E695" i="2"/>
  <c r="D695" i="2"/>
  <c r="C695" i="2"/>
  <c r="C663" i="2"/>
  <c r="E639" i="2"/>
  <c r="D639" i="2"/>
  <c r="D608" i="2"/>
  <c r="C554" i="2"/>
  <c r="C534" i="2"/>
  <c r="C508" i="2"/>
  <c r="C484" i="2"/>
  <c r="C453" i="2"/>
  <c r="C424" i="2"/>
  <c r="C423" i="2"/>
  <c r="D393" i="2"/>
  <c r="S390" i="2" s="1"/>
  <c r="E393" i="2"/>
  <c r="T390" i="2" s="1"/>
  <c r="F393" i="2"/>
  <c r="U390" i="2" s="1"/>
  <c r="G393" i="2"/>
  <c r="V390" i="2" s="1"/>
  <c r="H393" i="2"/>
  <c r="W390" i="2" s="1"/>
  <c r="I393" i="2"/>
  <c r="X390" i="2" s="1"/>
  <c r="J393" i="2"/>
  <c r="Y390" i="2" s="1"/>
  <c r="K393" i="2"/>
  <c r="Z390" i="2" s="1"/>
  <c r="L393" i="2"/>
  <c r="AA390" i="2" s="1"/>
  <c r="M393" i="2"/>
  <c r="AB390" i="2" s="1"/>
  <c r="N393" i="2"/>
  <c r="AC390" i="2" s="1"/>
  <c r="O393" i="2"/>
  <c r="AD390" i="2" s="1"/>
  <c r="P393" i="2"/>
  <c r="AE390" i="2" s="1"/>
  <c r="D394" i="2"/>
  <c r="S391" i="2" s="1"/>
  <c r="E394" i="2"/>
  <c r="T391" i="2" s="1"/>
  <c r="F394" i="2"/>
  <c r="U391" i="2" s="1"/>
  <c r="G394" i="2"/>
  <c r="V391" i="2" s="1"/>
  <c r="H394" i="2"/>
  <c r="W391" i="2" s="1"/>
  <c r="I394" i="2"/>
  <c r="X391" i="2" s="1"/>
  <c r="J394" i="2"/>
  <c r="Y391" i="2" s="1"/>
  <c r="K394" i="2"/>
  <c r="Z391" i="2" s="1"/>
  <c r="L394" i="2"/>
  <c r="AA391" i="2" s="1"/>
  <c r="M394" i="2"/>
  <c r="AB391" i="2" s="1"/>
  <c r="N394" i="2"/>
  <c r="AC391" i="2" s="1"/>
  <c r="O394" i="2"/>
  <c r="AD391" i="2" s="1"/>
  <c r="P394" i="2"/>
  <c r="AE391" i="2" s="1"/>
  <c r="C393" i="2"/>
  <c r="C394" i="2"/>
  <c r="R390" i="2"/>
  <c r="R391" i="2"/>
  <c r="Q390" i="2"/>
  <c r="Q391" i="2"/>
  <c r="P390" i="2"/>
  <c r="P391" i="2"/>
  <c r="O390" i="2"/>
  <c r="O391" i="2"/>
  <c r="D390" i="2"/>
  <c r="D396" i="2" s="1"/>
  <c r="E390" i="2"/>
  <c r="F390" i="2"/>
  <c r="G390" i="2"/>
  <c r="H390" i="2"/>
  <c r="I390" i="2"/>
  <c r="J390" i="2"/>
  <c r="K390" i="2"/>
  <c r="L390" i="2"/>
  <c r="M390" i="2"/>
  <c r="N390" i="2"/>
  <c r="D391" i="2"/>
  <c r="D397" i="2" s="1"/>
  <c r="E391" i="2"/>
  <c r="F391" i="2"/>
  <c r="G391" i="2"/>
  <c r="H391" i="2"/>
  <c r="I391" i="2"/>
  <c r="J391" i="2"/>
  <c r="K391" i="2"/>
  <c r="L391" i="2"/>
  <c r="M391" i="2"/>
  <c r="N391" i="2"/>
  <c r="C390" i="2"/>
  <c r="C396" i="2" s="1"/>
  <c r="C391" i="2"/>
  <c r="C397" i="2" s="1"/>
  <c r="T361" i="2"/>
  <c r="K365" i="2" s="1"/>
  <c r="T362" i="2"/>
  <c r="R361" i="2"/>
  <c r="J365" i="2" s="1"/>
  <c r="R362" i="2"/>
  <c r="C361" i="2"/>
  <c r="D361" i="2"/>
  <c r="C365" i="2" s="1"/>
  <c r="F361" i="2"/>
  <c r="D365" i="2" s="1"/>
  <c r="H361" i="2"/>
  <c r="E365" i="2" s="1"/>
  <c r="J361" i="2"/>
  <c r="F365" i="2" s="1"/>
  <c r="L361" i="2"/>
  <c r="G365" i="2" s="1"/>
  <c r="N361" i="2"/>
  <c r="H365" i="2" s="1"/>
  <c r="P361" i="2"/>
  <c r="I365" i="2" s="1"/>
  <c r="D362" i="2"/>
  <c r="F362" i="2"/>
  <c r="H362" i="2"/>
  <c r="J362" i="2"/>
  <c r="L362" i="2"/>
  <c r="N362" i="2"/>
  <c r="P362" i="2"/>
  <c r="B362" i="2"/>
  <c r="B366" i="2" s="1"/>
  <c r="B363" i="2"/>
  <c r="D319" i="2"/>
  <c r="C319" i="2"/>
  <c r="G297" i="2"/>
  <c r="H297" i="2"/>
  <c r="P295" i="2"/>
  <c r="P296" i="2"/>
  <c r="O295" i="2"/>
  <c r="O296" i="2"/>
  <c r="M295" i="2"/>
  <c r="N295" i="2"/>
  <c r="M296" i="2"/>
  <c r="N296" i="2"/>
  <c r="I295" i="2"/>
  <c r="J295" i="2"/>
  <c r="K295" i="2"/>
  <c r="L295" i="2"/>
  <c r="I296" i="2"/>
  <c r="J296" i="2"/>
  <c r="K296" i="2"/>
  <c r="L296" i="2"/>
  <c r="H296" i="2"/>
  <c r="H295" i="2"/>
  <c r="G296" i="2"/>
  <c r="G295" i="2"/>
  <c r="F265" i="2"/>
  <c r="G265" i="2"/>
  <c r="H265" i="2"/>
  <c r="I265" i="2"/>
  <c r="F266" i="2"/>
  <c r="G266" i="2"/>
  <c r="G264" i="2"/>
  <c r="H264" i="2"/>
  <c r="I264" i="2"/>
  <c r="F264" i="2"/>
  <c r="F237" i="2"/>
  <c r="F236" i="2"/>
  <c r="E211" i="2"/>
  <c r="D211" i="2"/>
  <c r="E181" i="2"/>
  <c r="D181" i="2"/>
  <c r="F151" i="2"/>
  <c r="E151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D122" i="2"/>
  <c r="D123" i="2"/>
  <c r="C123" i="2"/>
  <c r="G96" i="2"/>
  <c r="J96" i="2"/>
  <c r="F96" i="2"/>
  <c r="H64" i="2"/>
  <c r="J64" i="2"/>
  <c r="F64" i="2"/>
  <c r="E64" i="2"/>
  <c r="D64" i="2"/>
  <c r="C17" i="2"/>
  <c r="C16" i="2"/>
  <c r="E15" i="2"/>
  <c r="E16" i="2"/>
  <c r="E17" i="2"/>
  <c r="F333" i="1"/>
  <c r="B53" i="6" l="1"/>
  <c r="H56" i="6"/>
  <c r="J73" i="6"/>
  <c r="C87" i="6"/>
  <c r="B116" i="6"/>
  <c r="B41" i="6"/>
  <c r="C56" i="6"/>
  <c r="C69" i="6"/>
  <c r="I67" i="6"/>
  <c r="C100" i="6"/>
  <c r="O358" i="1"/>
  <c r="N358" i="1"/>
  <c r="M358" i="1"/>
  <c r="L358" i="1"/>
  <c r="K358" i="1"/>
  <c r="I358" i="1"/>
  <c r="H358" i="1"/>
  <c r="G358" i="1"/>
  <c r="O350" i="1"/>
  <c r="N350" i="1"/>
  <c r="M350" i="1"/>
  <c r="L350" i="1"/>
  <c r="K350" i="1"/>
  <c r="I350" i="1"/>
  <c r="H350" i="1"/>
  <c r="G350" i="1"/>
  <c r="J340" i="1"/>
  <c r="I340" i="1"/>
  <c r="H340" i="1"/>
  <c r="G340" i="1"/>
  <c r="F340" i="1"/>
  <c r="E340" i="1"/>
  <c r="I333" i="1"/>
  <c r="H333" i="1"/>
  <c r="G333" i="1"/>
  <c r="E333" i="1"/>
  <c r="G608" i="2"/>
  <c r="D131" i="1"/>
  <c r="K123" i="1"/>
  <c r="J123" i="1"/>
  <c r="I123" i="1"/>
  <c r="H123" i="1"/>
  <c r="G123" i="1"/>
  <c r="F123" i="1"/>
  <c r="E123" i="1"/>
  <c r="M115" i="1"/>
  <c r="L115" i="1"/>
  <c r="K115" i="1"/>
  <c r="J115" i="1"/>
  <c r="I115" i="1"/>
  <c r="H115" i="1"/>
  <c r="G115" i="1"/>
  <c r="F115" i="1"/>
  <c r="F319" i="2" s="1"/>
  <c r="E115" i="1"/>
  <c r="P107" i="1"/>
  <c r="P297" i="2" s="1"/>
  <c r="O107" i="1"/>
  <c r="O297" i="2" s="1"/>
  <c r="N107" i="1"/>
  <c r="N297" i="2" s="1"/>
  <c r="M107" i="1"/>
  <c r="M297" i="2" s="1"/>
  <c r="L107" i="1"/>
  <c r="L297" i="2" s="1"/>
  <c r="K107" i="1"/>
  <c r="K297" i="2" s="1"/>
  <c r="J107" i="1"/>
  <c r="J297" i="2" s="1"/>
  <c r="I107" i="1"/>
  <c r="I297" i="2" s="1"/>
  <c r="G107" i="1"/>
  <c r="J266" i="2" s="1"/>
  <c r="F107" i="1"/>
  <c r="I266" i="2" s="1"/>
  <c r="E107" i="1"/>
  <c r="H266" i="2" s="1"/>
  <c r="H99" i="1"/>
  <c r="F241" i="2" s="1"/>
  <c r="G99" i="1"/>
  <c r="F240" i="2" s="1"/>
  <c r="F99" i="1"/>
  <c r="F239" i="2" s="1"/>
  <c r="E99" i="1"/>
  <c r="F238" i="2" s="1"/>
  <c r="G91" i="1"/>
  <c r="H211" i="2" s="1"/>
  <c r="F91" i="1"/>
  <c r="G211" i="2" s="1"/>
  <c r="E91" i="1"/>
  <c r="F211" i="2" s="1"/>
  <c r="J84" i="1"/>
  <c r="I84" i="1"/>
  <c r="H84" i="1"/>
  <c r="G84" i="1"/>
  <c r="F84" i="1"/>
  <c r="E84" i="1"/>
  <c r="F181" i="2" s="1"/>
  <c r="J77" i="1"/>
  <c r="I77" i="1"/>
  <c r="H77" i="1"/>
  <c r="G77" i="1"/>
  <c r="F77" i="1"/>
  <c r="E77" i="1"/>
  <c r="J69" i="1"/>
  <c r="I69" i="1"/>
  <c r="H69" i="1"/>
  <c r="G69" i="1"/>
  <c r="F69" i="1"/>
  <c r="E69" i="1"/>
  <c r="Q59" i="1"/>
  <c r="Q123" i="2" s="1"/>
  <c r="P59" i="1"/>
  <c r="P123" i="2" s="1"/>
  <c r="O59" i="1"/>
  <c r="O123" i="2" s="1"/>
  <c r="N59" i="1"/>
  <c r="N123" i="2" s="1"/>
  <c r="M59" i="1"/>
  <c r="M123" i="2" s="1"/>
  <c r="L59" i="1"/>
  <c r="L123" i="2" s="1"/>
  <c r="K59" i="1"/>
  <c r="K123" i="2" s="1"/>
  <c r="J59" i="1"/>
  <c r="J123" i="2" s="1"/>
  <c r="I59" i="1"/>
  <c r="I123" i="2" s="1"/>
  <c r="H59" i="1"/>
  <c r="H123" i="2" s="1"/>
  <c r="G59" i="1"/>
  <c r="G123" i="2" s="1"/>
  <c r="F59" i="1"/>
  <c r="F123" i="2" s="1"/>
  <c r="E59" i="1"/>
  <c r="E123" i="2" s="1"/>
  <c r="M51" i="1"/>
  <c r="E30" i="6" s="1"/>
  <c r="L51" i="1"/>
  <c r="K51" i="1"/>
  <c r="J51" i="1"/>
  <c r="I51" i="1"/>
  <c r="H51" i="1"/>
  <c r="F51" i="1"/>
  <c r="I96" i="2" s="1"/>
  <c r="E51" i="1"/>
  <c r="H96" i="2" s="1"/>
  <c r="J36" i="1"/>
  <c r="I36" i="1"/>
  <c r="H36" i="1"/>
  <c r="G36" i="1"/>
  <c r="F36" i="1"/>
  <c r="E36" i="1"/>
  <c r="D26" i="1"/>
  <c r="H26" i="1" s="1"/>
  <c r="J18" i="1"/>
  <c r="H18" i="1"/>
  <c r="F18" i="1"/>
  <c r="G29" i="7"/>
  <c r="F29" i="7"/>
  <c r="J75" i="6"/>
  <c r="P67" i="6"/>
  <c r="O67" i="6"/>
  <c r="N67" i="6"/>
  <c r="M67" i="6"/>
  <c r="L67" i="6"/>
  <c r="K67" i="6"/>
  <c r="E939" i="2"/>
  <c r="F939" i="2"/>
  <c r="G939" i="2"/>
  <c r="H939" i="2"/>
  <c r="I939" i="2"/>
  <c r="D939" i="2"/>
  <c r="E910" i="2"/>
  <c r="F910" i="2"/>
  <c r="G910" i="2"/>
  <c r="D910" i="2"/>
  <c r="D881" i="2"/>
  <c r="D851" i="2"/>
  <c r="D818" i="2"/>
  <c r="I554" i="2"/>
  <c r="H554" i="2"/>
  <c r="G554" i="2"/>
  <c r="F554" i="2"/>
  <c r="E554" i="2"/>
  <c r="D554" i="2"/>
  <c r="I534" i="2"/>
  <c r="H534" i="2"/>
  <c r="G534" i="2"/>
  <c r="F534" i="2"/>
  <c r="E534" i="2"/>
  <c r="D534" i="2"/>
  <c r="I508" i="2"/>
  <c r="H127" i="6" s="1"/>
  <c r="H508" i="2"/>
  <c r="G127" i="6" s="1"/>
  <c r="G508" i="2"/>
  <c r="F127" i="6" s="1"/>
  <c r="F508" i="2"/>
  <c r="E127" i="6" s="1"/>
  <c r="E508" i="2"/>
  <c r="D127" i="6" s="1"/>
  <c r="D508" i="2"/>
  <c r="C127" i="6" s="1"/>
  <c r="G484" i="2"/>
  <c r="F484" i="2"/>
  <c r="E484" i="2"/>
  <c r="D484" i="2"/>
  <c r="H453" i="2"/>
  <c r="G453" i="2"/>
  <c r="F453" i="2"/>
  <c r="E453" i="2"/>
  <c r="D453" i="2"/>
  <c r="K424" i="2"/>
  <c r="J424" i="2"/>
  <c r="H424" i="2"/>
  <c r="I424" i="2"/>
  <c r="G424" i="2"/>
  <c r="F424" i="2"/>
  <c r="D424" i="2"/>
  <c r="E424" i="2"/>
  <c r="P96" i="2"/>
  <c r="G41" i="2"/>
  <c r="E41" i="2"/>
  <c r="D41" i="2"/>
  <c r="N939" i="2"/>
  <c r="M939" i="2"/>
  <c r="L939" i="2"/>
  <c r="K939" i="2"/>
  <c r="J939" i="2"/>
  <c r="N910" i="2"/>
  <c r="M910" i="2"/>
  <c r="L910" i="2"/>
  <c r="K910" i="2"/>
  <c r="J910" i="2"/>
  <c r="I910" i="2"/>
  <c r="H910" i="2"/>
  <c r="J881" i="2"/>
  <c r="I881" i="2"/>
  <c r="H881" i="2"/>
  <c r="G881" i="2"/>
  <c r="F881" i="2"/>
  <c r="E881" i="2"/>
  <c r="H851" i="2"/>
  <c r="G851" i="2"/>
  <c r="F851" i="2"/>
  <c r="E851" i="2"/>
  <c r="H818" i="2"/>
  <c r="G818" i="2"/>
  <c r="F818" i="2"/>
  <c r="E818" i="2"/>
  <c r="J785" i="2"/>
  <c r="K785" i="2"/>
  <c r="G785" i="2"/>
  <c r="F785" i="2"/>
  <c r="E785" i="2"/>
  <c r="D785" i="2"/>
  <c r="E755" i="2"/>
  <c r="E756" i="2"/>
  <c r="D755" i="2"/>
  <c r="D756" i="2"/>
  <c r="E20" i="6" l="1"/>
  <c r="I64" i="2"/>
  <c r="E34" i="6"/>
  <c r="L96" i="2"/>
  <c r="E32" i="6"/>
  <c r="N96" i="2"/>
  <c r="C46" i="6"/>
  <c r="G151" i="2"/>
  <c r="E46" i="6"/>
  <c r="I151" i="2"/>
  <c r="G46" i="6"/>
  <c r="K151" i="2"/>
  <c r="H181" i="2"/>
  <c r="H53" i="6"/>
  <c r="E59" i="6" s="1"/>
  <c r="J181" i="2"/>
  <c r="N53" i="6"/>
  <c r="E61" i="6" s="1"/>
  <c r="E319" i="2"/>
  <c r="E71" i="6"/>
  <c r="E72" i="6"/>
  <c r="G319" i="2"/>
  <c r="E73" i="6"/>
  <c r="I319" i="2"/>
  <c r="E75" i="6"/>
  <c r="K319" i="2"/>
  <c r="E77" i="6"/>
  <c r="M319" i="2"/>
  <c r="E79" i="6"/>
  <c r="T131" i="1"/>
  <c r="S362" i="2" s="1"/>
  <c r="J366" i="2" s="1"/>
  <c r="C362" i="2"/>
  <c r="E35" i="6"/>
  <c r="K96" i="2"/>
  <c r="M96" i="2"/>
  <c r="E33" i="6"/>
  <c r="E31" i="6"/>
  <c r="O96" i="2"/>
  <c r="D46" i="6"/>
  <c r="H151" i="2"/>
  <c r="F46" i="6"/>
  <c r="J151" i="2"/>
  <c r="H46" i="6"/>
  <c r="L151" i="2"/>
  <c r="E53" i="6"/>
  <c r="E58" i="6" s="1"/>
  <c r="L58" i="6" s="1"/>
  <c r="G181" i="2"/>
  <c r="K53" i="6"/>
  <c r="E60" i="6" s="1"/>
  <c r="L60" i="6" s="1"/>
  <c r="I181" i="2"/>
  <c r="Q53" i="6"/>
  <c r="E62" i="6" s="1"/>
  <c r="K181" i="2"/>
  <c r="E74" i="6"/>
  <c r="H319" i="2"/>
  <c r="E76" i="6"/>
  <c r="J319" i="2"/>
  <c r="E78" i="6"/>
  <c r="L75" i="6" s="1"/>
  <c r="L319" i="2"/>
  <c r="F608" i="2"/>
  <c r="H608" i="2"/>
  <c r="E608" i="2"/>
  <c r="F131" i="1"/>
  <c r="E362" i="2" s="1"/>
  <c r="C366" i="2" s="1"/>
  <c r="J131" i="1"/>
  <c r="I362" i="2" s="1"/>
  <c r="E366" i="2" s="1"/>
  <c r="N131" i="1"/>
  <c r="M362" i="2" s="1"/>
  <c r="G366" i="2" s="1"/>
  <c r="R131" i="1"/>
  <c r="Q362" i="2" s="1"/>
  <c r="I366" i="2" s="1"/>
  <c r="V131" i="1"/>
  <c r="U362" i="2" s="1"/>
  <c r="K366" i="2" s="1"/>
  <c r="H131" i="1"/>
  <c r="G362" i="2" s="1"/>
  <c r="D366" i="2" s="1"/>
  <c r="L131" i="1"/>
  <c r="K362" i="2" s="1"/>
  <c r="F366" i="2" s="1"/>
  <c r="P131" i="1"/>
  <c r="O362" i="2" s="1"/>
  <c r="H366" i="2" s="1"/>
  <c r="F26" i="1"/>
  <c r="J26" i="1"/>
  <c r="J554" i="2"/>
  <c r="N578" i="2" s="1"/>
  <c r="K554" i="2"/>
  <c r="O578" i="2" s="1"/>
  <c r="L554" i="2"/>
  <c r="P578" i="2" s="1"/>
  <c r="J508" i="2"/>
  <c r="K508" i="2"/>
  <c r="L508" i="2"/>
  <c r="J534" i="2"/>
  <c r="J578" i="2" s="1"/>
  <c r="K534" i="2"/>
  <c r="K578" i="2" s="1"/>
  <c r="L534" i="2"/>
  <c r="L578" i="2" s="1"/>
  <c r="I484" i="2"/>
  <c r="D578" i="2" s="1"/>
  <c r="H484" i="2"/>
  <c r="C578" i="2" s="1"/>
  <c r="I41" i="2"/>
  <c r="H41" i="2" s="1"/>
  <c r="K64" i="2" l="1"/>
  <c r="E19" i="6"/>
  <c r="G64" i="2"/>
  <c r="E21" i="6"/>
  <c r="G578" i="2"/>
  <c r="J127" i="6"/>
  <c r="H578" i="2"/>
  <c r="K127" i="6"/>
  <c r="F578" i="2"/>
  <c r="I127" i="6"/>
  <c r="F41" i="2"/>
  <c r="I851" i="2" l="1"/>
  <c r="I785" i="2"/>
  <c r="H785" i="2"/>
  <c r="L663" i="2" l="1"/>
  <c r="K663" i="2"/>
  <c r="I663" i="2"/>
  <c r="G663" i="2"/>
  <c r="H663" i="2"/>
  <c r="D663" i="2"/>
  <c r="E663" i="2"/>
  <c r="N663" i="2"/>
  <c r="J663" i="2"/>
  <c r="M663" i="2"/>
  <c r="F663" i="2"/>
  <c r="I639" i="2"/>
  <c r="G639" i="2"/>
  <c r="H639" i="2"/>
  <c r="F639" i="2"/>
</calcChain>
</file>

<file path=xl/sharedStrings.xml><?xml version="1.0" encoding="utf-8"?>
<sst xmlns="http://schemas.openxmlformats.org/spreadsheetml/2006/main" count="1215" uniqueCount="386">
  <si>
    <t>Població i Mostra</t>
  </si>
  <si>
    <t>Antecedents Laborals (%)</t>
  </si>
  <si>
    <t>Respostes</t>
  </si>
  <si>
    <t>Estudiant a temps complet</t>
  </si>
  <si>
    <t>Estudi i Treball a temps complet</t>
  </si>
  <si>
    <t>Estudi i Treball a temps parcial</t>
  </si>
  <si>
    <t>Població</t>
  </si>
  <si>
    <t>Total Mostra</t>
  </si>
  <si>
    <t>% Resposta</t>
  </si>
  <si>
    <t>Dones</t>
  </si>
  <si>
    <t>Homes</t>
  </si>
  <si>
    <t>Relacionat</t>
  </si>
  <si>
    <t>No Relacionat</t>
  </si>
  <si>
    <t>%</t>
  </si>
  <si>
    <t>TOTAL UPC</t>
  </si>
  <si>
    <t>ESTATUS D'INSERCIÓ</t>
  </si>
  <si>
    <t>Ocupat</t>
  </si>
  <si>
    <t>Aturat però amb experiència</t>
  </si>
  <si>
    <t>No ha treballat mai</t>
  </si>
  <si>
    <t>La feina actual és la 1a feina (%)</t>
  </si>
  <si>
    <t>Temps 1a inserció (%)</t>
  </si>
  <si>
    <t>No</t>
  </si>
  <si>
    <t>Si</t>
  </si>
  <si>
    <t>Abans
d'acabar</t>
  </si>
  <si>
    <t>Menys
d'un mes</t>
  </si>
  <si>
    <t>D'un a 3 mesos</t>
  </si>
  <si>
    <t>De 3 a 6
mesos</t>
  </si>
  <si>
    <t>De 6 a 12
mesos</t>
  </si>
  <si>
    <t>Més
d'un any</t>
  </si>
  <si>
    <t>Vies d'accés al primer treball per a qui n'ha tingut més d'un (%)</t>
  </si>
  <si>
    <t>Contactes</t>
  </si>
  <si>
    <t>Premsa</t>
  </si>
  <si>
    <t>Oposicions</t>
  </si>
  <si>
    <t>SCC
INEM</t>
  </si>
  <si>
    <t>Pròpia empresa</t>
  </si>
  <si>
    <t>Pràctiques
d'estudis</t>
  </si>
  <si>
    <t>Serveis
Universitat</t>
  </si>
  <si>
    <t>ETT</t>
  </si>
  <si>
    <t>Empreses
de selecció</t>
  </si>
  <si>
    <t>Internet</t>
  </si>
  <si>
    <t>Altres</t>
  </si>
  <si>
    <t>Fa més de 3 anys</t>
  </si>
  <si>
    <t>Fa 3 anys</t>
  </si>
  <si>
    <t>Fa 2 anys</t>
  </si>
  <si>
    <t>Fa 1 any</t>
  </si>
  <si>
    <t>Any actual</t>
  </si>
  <si>
    <t>Fix</t>
  </si>
  <si>
    <t>Autònom</t>
  </si>
  <si>
    <t>Temporal</t>
  </si>
  <si>
    <t>Becari</t>
  </si>
  <si>
    <t>Sense
contracte</t>
  </si>
  <si>
    <t>Menys
6 mesos</t>
  </si>
  <si>
    <t>Entre
6-12 mesos</t>
  </si>
  <si>
    <t>Titulació
específica</t>
  </si>
  <si>
    <t>Titulació
universitària</t>
  </si>
  <si>
    <t>Cap
titulació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</si>
  <si>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</si>
  <si>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</si>
  <si>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</si>
  <si>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</si>
  <si>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</si>
  <si>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</si>
  <si>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</si>
  <si>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</si>
  <si>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Funcions pròpies</t>
  </si>
  <si>
    <t>Funcions
no pròpies</t>
  </si>
  <si>
    <t>Requeria
form.univ.</t>
  </si>
  <si>
    <t>No requeria
form.univ.</t>
  </si>
  <si>
    <t>(Gens Important  1 - 7 Molt important)</t>
  </si>
  <si>
    <t>Coneixements teòrics</t>
  </si>
  <si>
    <t>Coneixements pràctics</t>
  </si>
  <si>
    <t>Formació en idiomes</t>
  </si>
  <si>
    <t>Formació en informàtica</t>
  </si>
  <si>
    <t>Capacitat de gestió i planificació</t>
  </si>
  <si>
    <t>Capacitat de treballar en grup</t>
  </si>
  <si>
    <t>Formació global universitat</t>
  </si>
  <si>
    <t>Mitjana</t>
  </si>
  <si>
    <t>Desv.</t>
  </si>
  <si>
    <t>Branca d'activitat (%)</t>
  </si>
  <si>
    <t>Agri-
cultura</t>
  </si>
  <si>
    <t>Pesca</t>
  </si>
  <si>
    <t>Comb.
sòlids</t>
  </si>
  <si>
    <t>Electri-
citat</t>
  </si>
  <si>
    <t>Extrac.
mineral</t>
  </si>
  <si>
    <t>Industr.
Química</t>
  </si>
  <si>
    <t>Industr. Farmac.</t>
  </si>
  <si>
    <t>Metal·
lúrgia</t>
  </si>
  <si>
    <t>Mater.
Transp.</t>
  </si>
  <si>
    <t>Prod. 
Aliment</t>
  </si>
  <si>
    <t>Textil, cuir ...</t>
  </si>
  <si>
    <t>Fusta</t>
  </si>
  <si>
    <t>Paper</t>
  </si>
  <si>
    <t>Cautxú</t>
  </si>
  <si>
    <t>Cons-
trucció</t>
  </si>
  <si>
    <t>Comerç</t>
  </si>
  <si>
    <t>Restau-
rants</t>
  </si>
  <si>
    <t>Trans-
port</t>
  </si>
  <si>
    <t>Tecnol.
comunic</t>
  </si>
  <si>
    <t>Mitjans
comunic</t>
  </si>
  <si>
    <t>Instit.
financ.</t>
  </si>
  <si>
    <t>Serveis
a empres.</t>
  </si>
  <si>
    <t>Adm.
pública</t>
  </si>
  <si>
    <t>Educ.
investig</t>
  </si>
  <si>
    <t>Sanitat
assist.</t>
  </si>
  <si>
    <t>Àmbit (%)</t>
  </si>
  <si>
    <t>Ubicació (%)</t>
  </si>
  <si>
    <t>Públic</t>
  </si>
  <si>
    <t>Privat</t>
  </si>
  <si>
    <t>Barcelona</t>
  </si>
  <si>
    <t>Tarragona</t>
  </si>
  <si>
    <t>Girona</t>
  </si>
  <si>
    <t>Lleida</t>
  </si>
  <si>
    <t>Resta
CCAA</t>
  </si>
  <si>
    <t>Europa</t>
  </si>
  <si>
    <t>Resta món</t>
  </si>
  <si>
    <t>Direcció
Gestió</t>
  </si>
  <si>
    <t>Comercial o
logística</t>
  </si>
  <si>
    <t>Docència</t>
  </si>
  <si>
    <t>R+D</t>
  </si>
  <si>
    <t>Assistència
Mèdica/Social</t>
  </si>
  <si>
    <t>Disseny
Art</t>
  </si>
  <si>
    <t>Tècniques</t>
  </si>
  <si>
    <t>Altres qualificades</t>
  </si>
  <si>
    <t>Altres 
no qualificades</t>
  </si>
  <si>
    <t>Grau de satisfacció</t>
  </si>
  <si>
    <t>(Gens d'acord 1 - 7 totalment d'acord)</t>
  </si>
  <si>
    <t>(Molt baix 1 - 7 Molt alt)</t>
  </si>
  <si>
    <t>Formació teòrica</t>
  </si>
  <si>
    <t>Formació pràctica</t>
  </si>
  <si>
    <t>Nivell obtingut</t>
  </si>
  <si>
    <t>Utilitat per a la feina</t>
  </si>
  <si>
    <t>Informàtica</t>
  </si>
  <si>
    <t>Idiomes</t>
  </si>
  <si>
    <t>Documentació</t>
  </si>
  <si>
    <t>Gestió</t>
  </si>
  <si>
    <t>Comunicació oral</t>
  </si>
  <si>
    <t>Comunicació escrita</t>
  </si>
  <si>
    <t>Treball en equip</t>
  </si>
  <si>
    <t>Lideratge</t>
  </si>
  <si>
    <t>Resolució de problemes</t>
  </si>
  <si>
    <t>Presa de decisions</t>
  </si>
  <si>
    <t>Creativitat</t>
  </si>
  <si>
    <t>Pensament crític</t>
  </si>
  <si>
    <t>Graduats no ocupats</t>
  </si>
  <si>
    <t>ATURATS</t>
  </si>
  <si>
    <t>INACTIUS</t>
  </si>
  <si>
    <t>Menys de 
6 mesos</t>
  </si>
  <si>
    <t>Entre 6 mesos
i 1 any</t>
  </si>
  <si>
    <t>Entre 1 any
i 2 anys</t>
  </si>
  <si>
    <t>Més de
2 anys</t>
  </si>
  <si>
    <t>% s/n ocup</t>
  </si>
  <si>
    <t>% s/atur</t>
  </si>
  <si>
    <t>Motius per no cercar feina (inactius)*</t>
  </si>
  <si>
    <t>1 - 3</t>
  </si>
  <si>
    <t>4 - 8</t>
  </si>
  <si>
    <t>Més de 8</t>
  </si>
  <si>
    <t>Continuar
 estudis</t>
  </si>
  <si>
    <t>Maternitat
Llar</t>
  </si>
  <si>
    <t xml:space="preserve"> % s/inact.</t>
  </si>
  <si>
    <t>% s/inact.</t>
  </si>
  <si>
    <t>% s/inactius</t>
  </si>
  <si>
    <t>Graduats
no ocupats</t>
  </si>
  <si>
    <t>Contactes
personals</t>
  </si>
  <si>
    <t>Iniciativa personal</t>
  </si>
  <si>
    <t>Anuncis
a la premsa</t>
  </si>
  <si>
    <t>Oposicions
Concurs públic</t>
  </si>
  <si>
    <t>Servei Català
Col·locació</t>
  </si>
  <si>
    <t>Pròpia
empresa</t>
  </si>
  <si>
    <t>Conveni
Coop. educativa</t>
  </si>
  <si>
    <t>Col·legi
professional</t>
  </si>
  <si>
    <t>(Gens important 1 - 7 Molt important)</t>
  </si>
  <si>
    <t>Mancances formació
universitària rebuda</t>
  </si>
  <si>
    <t>Activitats personals
impedeixen treballar</t>
  </si>
  <si>
    <t>Manca de pràctica
professional</t>
  </si>
  <si>
    <t>Tenir una feina
que m'agradi</t>
  </si>
  <si>
    <t>Manca coneixements
mercat laboral</t>
  </si>
  <si>
    <t>Una feina amb un
nivell retributiu adequat</t>
  </si>
  <si>
    <t>Manca coneixements
d'idiomes</t>
  </si>
  <si>
    <t>Manca coneixements
en informàtica</t>
  </si>
  <si>
    <t>Manca d'altres coneixements</t>
  </si>
  <si>
    <t>Repetiries la carrera?</t>
  </si>
  <si>
    <t>Repetiries d'universitat?</t>
  </si>
  <si>
    <t>Continuació dels estudis</t>
  </si>
  <si>
    <t>Mateixa universitat ?</t>
  </si>
  <si>
    <t>Sí</t>
  </si>
  <si>
    <t>NO</t>
  </si>
  <si>
    <t>Cursos espec.</t>
  </si>
  <si>
    <t>Doctorat</t>
  </si>
  <si>
    <t>Has tingut alguna experiència de mobilitat?</t>
  </si>
  <si>
    <t>Durant els estudis</t>
  </si>
  <si>
    <t>Laboralment</t>
  </si>
  <si>
    <t>Estudis i feina</t>
  </si>
  <si>
    <t>TITULATS ANY ACADÈMIC 2006-2007</t>
  </si>
  <si>
    <t>Borsa de treball institucional</t>
  </si>
  <si>
    <t>Habilitats socials i personalitat</t>
  </si>
  <si>
    <t>NS/NC</t>
  </si>
  <si>
    <t>MOBILITAT (%)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</si>
  <si>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</si>
  <si>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</si>
  <si>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</si>
  <si>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</si>
  <si>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</si>
  <si>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1. PERFIL ENSENYAMENT</t>
  </si>
  <si>
    <t xml:space="preserve"> - Població i mostra</t>
  </si>
  <si>
    <t xml:space="preserve"> - Gènere</t>
  </si>
  <si>
    <t xml:space="preserve"> - Estatus inserció 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</si>
  <si>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</si>
  <si>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</si>
  <si>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</si>
  <si>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   2.2 Situació laboral 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</si>
  <si>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</si>
  <si>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</si>
  <si>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</si>
  <si>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</si>
  <si>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</si>
  <si>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</si>
  <si>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</si>
  <si>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 xml:space="preserve">    3.1 Aturats</t>
  </si>
  <si>
    <t xml:space="preserve">    3.2 Inactius</t>
  </si>
  <si>
    <t>4. SATISFACCIÓ, FORMACIÓ CONTINUADA I MOBILITAT</t>
  </si>
  <si>
    <t xml:space="preserve"> - Via accés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</si>
  <si>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</si>
  <si>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</si>
  <si>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</si>
  <si>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</si>
  <si>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</si>
  <si>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</si>
  <si>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</si>
  <si>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</si>
  <si>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</si>
  <si>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</si>
  <si>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>5. RENDIMENT ACADÈMIC I ESTATUS SOCIOECONÒMIC</t>
  </si>
  <si>
    <t xml:space="preserve"> - Mobilitat</t>
  </si>
  <si>
    <t xml:space="preserve"> - Nota expedient acadèmic</t>
  </si>
  <si>
    <t xml:space="preserve"> - Nivell estudis pares</t>
  </si>
  <si>
    <t xml:space="preserve"> - Ocupació actual o passada dels pares</t>
  </si>
  <si>
    <t xml:space="preserve"> - Rebuig d'ofertes</t>
  </si>
  <si>
    <t xml:space="preserve"> - Mitjans utilitzats per trobar feina</t>
  </si>
  <si>
    <t xml:space="preserve"> - Temps recerca de feina</t>
  </si>
  <si>
    <t>ANTECEDENTS LABORALS</t>
  </si>
  <si>
    <t xml:space="preserve">2.1 DADES DE LA PRIMERA INSERCIÓ </t>
  </si>
  <si>
    <t>VIA D'ACCÉS</t>
  </si>
  <si>
    <t>PRIMERA FEINA I TEMPS D'INSERCIÓ</t>
  </si>
  <si>
    <t xml:space="preserve">2.2 SITUACIÓ LABORAL </t>
  </si>
  <si>
    <t xml:space="preserve">REQUISITS PER A LA FEINA ACTUAL </t>
  </si>
  <si>
    <t>TIPUS DE CONTRACTE</t>
  </si>
  <si>
    <t>Temps comlert</t>
  </si>
  <si>
    <t>Temps parcial,…</t>
  </si>
  <si>
    <t>DURADA CONTRACTE</t>
  </si>
  <si>
    <t>ÀMBIT I UBICACIÓ</t>
  </si>
  <si>
    <t>GUANYS</t>
  </si>
  <si>
    <t>Nombre de treballadors (%)</t>
  </si>
  <si>
    <t xml:space="preserve">Entre 10 i 50 </t>
  </si>
  <si>
    <t>Entre 51 i 100</t>
  </si>
  <si>
    <t>Entre 101 i 250</t>
  </si>
  <si>
    <t>Entre 251 i 500</t>
  </si>
  <si>
    <t>Més de 500</t>
  </si>
  <si>
    <t>2.3 FACTORS DE CONTRACTACIÓ</t>
  </si>
  <si>
    <t>ACADÈMIQUES</t>
  </si>
  <si>
    <t>INSTRUMENTALS</t>
  </si>
  <si>
    <t>INTERPERSONALS I DE GESTIÓ</t>
  </si>
  <si>
    <t>COGNITIVES</t>
  </si>
  <si>
    <t>3. GRADUATS NO OCUPATS*</t>
  </si>
  <si>
    <t>* (Nota: inclou graduats que no treballen actualment, però busquen feina i els que no han treballat mai)</t>
  </si>
  <si>
    <t>TEMPS DE RECERCA DE FEINA</t>
  </si>
  <si>
    <t>REBUIG D'OFERTES</t>
  </si>
  <si>
    <t>MITJANS UTILITZATS PER TROBAR FEINA</t>
  </si>
  <si>
    <t>3.2 INACTIUS</t>
  </si>
  <si>
    <t>3.1 ATURATS</t>
  </si>
  <si>
    <t>SATISFACCIÓ: CARRERA I UNIVERSITAT</t>
  </si>
  <si>
    <t>FORMACIÓ CONTINUADA</t>
  </si>
  <si>
    <t>MOBILITAT</t>
  </si>
  <si>
    <t>DIFICULTATS PER TROBAR FEINA</t>
  </si>
  <si>
    <t xml:space="preserve">Valoració dels factors implicats en la cerca, l'assoliment i l'acceptació de la feina </t>
  </si>
  <si>
    <t>NOTA EXPEDIENT ACADÈMIC</t>
  </si>
  <si>
    <t>OCUPACIÓ ACTUAL O PASSADA DELS PARES</t>
  </si>
  <si>
    <t>Aprovat</t>
  </si>
  <si>
    <t>Notable</t>
  </si>
  <si>
    <t>Excel·lent</t>
  </si>
  <si>
    <t>Matrícula</t>
  </si>
  <si>
    <t xml:space="preserve">Tots 2 tenen estudis primaris/sense estudis </t>
  </si>
  <si>
    <t>Un dels dos té estudis mitjans</t>
  </si>
  <si>
    <t>Tots dos tenen estudis mitjans</t>
  </si>
  <si>
    <t>Un dels dos té estudis superiors</t>
  </si>
  <si>
    <t>Tots dos tenen estudis superiors</t>
  </si>
  <si>
    <t>Compte propi (%)</t>
  </si>
  <si>
    <t>La feina requereix nivell universitari</t>
  </si>
  <si>
    <t>Compte aliè (%)</t>
  </si>
  <si>
    <t xml:space="preserve">Respostes </t>
  </si>
  <si>
    <t>Quin nivell? (%)</t>
  </si>
  <si>
    <t>Direcció/gestió</t>
  </si>
  <si>
    <t>Tècnic superior</t>
  </si>
  <si>
    <t>Qualificat</t>
  </si>
  <si>
    <t>No qualificat</t>
  </si>
  <si>
    <t xml:space="preserve"> - Primera feina i temps d'inserció</t>
  </si>
  <si>
    <t xml:space="preserve"> - Dificultats per trobar feina</t>
  </si>
  <si>
    <t xml:space="preserve"> - Satisfacció: carrera i universitat</t>
  </si>
  <si>
    <t xml:space="preserve"> - Formació continuada</t>
  </si>
  <si>
    <t>Ocupació actual o passada del PARE (%)</t>
  </si>
  <si>
    <t>Ocupació actual o passada del MARE (%)</t>
  </si>
  <si>
    <t xml:space="preserve">ANY INICI DE LA FEINA ACTUAL </t>
  </si>
  <si>
    <t>Nota: Recull les respostes dels titulats amb contracte temporal</t>
  </si>
  <si>
    <t>Nota: Sou brut anual</t>
  </si>
  <si>
    <t>FUNCIONS DESENVOLUPADES</t>
  </si>
  <si>
    <t>BRANCA D'ACTIVITAT</t>
  </si>
  <si>
    <t>2.4 SATISFACCIÓ AMB LA FEINA ACTUAL</t>
  </si>
  <si>
    <t>2.5 NIVELL I ADEQUACIÓ DE LES COMPETÈNCIES</t>
  </si>
  <si>
    <t>NIVELL D'ESTUDIS MÉS ELEVAT DELS PARES</t>
  </si>
  <si>
    <r>
      <t>TIPUS DE JORNADA LABORAL</t>
    </r>
    <r>
      <rPr>
        <b/>
        <sz val="11"/>
        <color theme="0" tint="-0.499984740745262"/>
        <rFont val="Calibri"/>
        <family val="2"/>
        <scheme val="minor"/>
      </rPr>
      <t xml:space="preserve"> (no contesten becaris)</t>
    </r>
  </si>
  <si>
    <r>
      <t xml:space="preserve">TAMANY DE L'EMPRESA </t>
    </r>
    <r>
      <rPr>
        <b/>
        <sz val="11"/>
        <color theme="0" tint="-0.499984740745262"/>
        <rFont val="Calibri"/>
        <family val="2"/>
        <scheme val="minor"/>
      </rPr>
      <t xml:space="preserve">(no contesten becaris) </t>
    </r>
  </si>
  <si>
    <t xml:space="preserve">POBLACIÓ, MOSTRA </t>
  </si>
  <si>
    <t>GÈNERE</t>
  </si>
  <si>
    <t xml:space="preserve">            (Nota: inclou graduats que no treballen actualment, però busquen feina i els que no han treballat mai)</t>
  </si>
  <si>
    <t xml:space="preserve"> </t>
  </si>
  <si>
    <t>Total</t>
  </si>
  <si>
    <r>
      <t>TIPUS DE JORNADA LABORAL</t>
    </r>
    <r>
      <rPr>
        <b/>
        <sz val="11"/>
        <rFont val="Calibri"/>
        <family val="2"/>
        <scheme val="minor"/>
      </rPr>
      <t xml:space="preserve"> (no contesten becaris)</t>
    </r>
  </si>
  <si>
    <t>TAULES COMPARATIVES</t>
  </si>
  <si>
    <t>Aturat</t>
  </si>
  <si>
    <t>FIX</t>
  </si>
  <si>
    <t>AUTÒNOM</t>
  </si>
  <si>
    <t>TEMPORAL</t>
  </si>
  <si>
    <t>SENSE CONTRACTE</t>
  </si>
  <si>
    <t>SI      1998</t>
  </si>
  <si>
    <t>NO    1998</t>
  </si>
  <si>
    <t>BECARI</t>
  </si>
  <si>
    <t>SENSE COTNRACTE</t>
  </si>
  <si>
    <t>Sí has tingut una experiència de mobilitat, de quin tipus ha estat?</t>
  </si>
  <si>
    <t xml:space="preserve">EVOLUCIÓ DE TEMPS D'INSERCIÓ A LA PRIMERA FEINA </t>
  </si>
  <si>
    <t xml:space="preserve">         </t>
  </si>
  <si>
    <t xml:space="preserve">TEMPS DE RECERCA DE FEINA (només pels aturats) </t>
  </si>
  <si>
    <t xml:space="preserve">        Enllaç a les taules (edició 2011)</t>
  </si>
  <si>
    <t xml:space="preserve">        Enllaç als gràfics de comparativa (totes edicions)</t>
  </si>
  <si>
    <t xml:space="preserve">        Enllaç als gràfics (edició 2011) </t>
  </si>
  <si>
    <t xml:space="preserve">        </t>
  </si>
  <si>
    <t>ESCOLA TÈCNICA SUPERIOR D'ARQUITECTURA DE BARCELONA</t>
  </si>
  <si>
    <t>ARQUITECTURA</t>
  </si>
  <si>
    <t>De 4 a 6
mesos</t>
  </si>
  <si>
    <t>Més d'1 any</t>
  </si>
  <si>
    <t xml:space="preserve">Menys de 10 </t>
  </si>
  <si>
    <t xml:space="preserve">GUANYS bruts anuals </t>
  </si>
  <si>
    <t>Diferència</t>
  </si>
  <si>
    <t>Formació Pràctica</t>
  </si>
  <si>
    <t xml:space="preserve">Documentació </t>
  </si>
  <si>
    <t>Diferencia</t>
  </si>
  <si>
    <t xml:space="preserve">Gestió </t>
  </si>
  <si>
    <t xml:space="preserve">Comunicació oral </t>
  </si>
  <si>
    <t>Comunicació Escrita</t>
  </si>
  <si>
    <t>Treball den equip</t>
  </si>
  <si>
    <t xml:space="preserve">3.2 INACTIUS </t>
  </si>
  <si>
    <t>SÍ, de quin tipus ha estat?</t>
  </si>
  <si>
    <t>FITXA TÈCNICA</t>
  </si>
  <si>
    <t>EDICIÓ 2011</t>
  </si>
  <si>
    <t>Persones titulades de la promoció del 2007 (curs 2006-2007)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</si>
  <si>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</si>
  <si>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</si>
  <si>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</si>
  <si>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</si>
  <si>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</si>
  <si>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</si>
  <si>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</si>
  <si>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L'estudi es va dur a terme entre el 24 de gener i el 28 de març de 2011</t>
  </si>
  <si>
    <t>Mostra</t>
  </si>
  <si>
    <t>% Resp.</t>
  </si>
  <si>
    <t>Err.Mostral</t>
  </si>
  <si>
    <t>PRINCIPALS INDICADORS</t>
  </si>
  <si>
    <t>* En l'edició de 2008 no hi havia cap titulat en situació d'atur</t>
  </si>
  <si>
    <t>REQUISITS PER A LA FEINA</t>
  </si>
  <si>
    <t>Més de 30.000 €</t>
  </si>
  <si>
    <t>TAULA PER RESUM</t>
  </si>
  <si>
    <t>Per més informació sobre la comparativa amb altres universitats veieu el següent enllaç:</t>
  </si>
  <si>
    <t>AQU | Inserció laboral 2011 | Informes per titulació | Tècnica</t>
  </si>
  <si>
    <t>TOTAL COMPETÈNCIES</t>
  </si>
  <si>
    <t>CARACTERÍSTIQUES TÈCNIQUES</t>
  </si>
  <si>
    <t>ÍNDEX</t>
  </si>
  <si>
    <t xml:space="preserve"> - Antecedents laborals</t>
  </si>
  <si>
    <t>3. GRADUATS NO OCUPATS</t>
  </si>
  <si>
    <t>POBLACIÓ, MOSTRA I GÈNERE</t>
  </si>
  <si>
    <t>Gènere</t>
  </si>
  <si>
    <t>Llicenciatura</t>
  </si>
  <si>
    <t>Postgrau / màster</t>
  </si>
  <si>
    <t>Temps complert</t>
  </si>
  <si>
    <t>Formació Teòrica</t>
  </si>
  <si>
    <t>EVOLUCIÓ DE L' ESTATUS D'INSERCIÓ</t>
  </si>
  <si>
    <t>Comparativa de l'evolució de titulats (Edició 2005/2008/2011)</t>
  </si>
  <si>
    <t>UNIVERSITAT POLITÈCNICA DE CATALUNYA</t>
  </si>
  <si>
    <t>GRADUATS NO OCUPATS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</si>
</sst>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8"/>
      <color indexed="62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0"/>
      <name val="Arial"/>
      <family val="2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Webdings"/>
      <family val="1"/>
      <charset val="2"/>
    </font>
    <font>
      <b/>
      <sz val="11"/>
      <color rgb="FF0070C0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6"/>
      <color theme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4" fontId="6" fillId="0" borderId="0" applyFont="0" applyFill="0" applyBorder="0" applyAlignment="0" applyProtection="0"/>
    <xf numFmtId="0" fontId="16" fillId="0" borderId="16" applyNumberFormat="0" applyFill="0" applyAlignment="0" applyProtection="0"/>
    <xf numFmtId="0" fontId="50" fillId="11" borderId="38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</cellStyleXfs>
  <cellXfs count="405">
    <xf numFmtId="0" fontId="0" fillId="0" borderId="0" xfId="0"/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10" fontId="7" fillId="4" borderId="0" xfId="1" applyNumberFormat="1" applyFont="1" applyFill="1" applyBorder="1" applyAlignment="1">
      <alignment vertical="center"/>
    </xf>
    <xf numFmtId="2" fontId="7" fillId="4" borderId="0" xfId="0" applyNumberFormat="1" applyFont="1" applyFill="1" applyBorder="1" applyAlignment="1">
      <alignment vertical="center"/>
    </xf>
    <xf numFmtId="10" fontId="4" fillId="4" borderId="0" xfId="1" applyNumberFormat="1" applyFont="1" applyFill="1" applyBorder="1" applyAlignment="1">
      <alignment vertical="center"/>
    </xf>
    <xf numFmtId="0" fontId="2" fillId="4" borderId="0" xfId="2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10" fontId="7" fillId="4" borderId="2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5" borderId="2" xfId="3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indent="1"/>
    </xf>
    <xf numFmtId="0" fontId="4" fillId="4" borderId="10" xfId="0" applyFont="1" applyFill="1" applyBorder="1" applyAlignment="1">
      <alignment vertical="center"/>
    </xf>
    <xf numFmtId="1" fontId="4" fillId="4" borderId="10" xfId="0" applyNumberFormat="1" applyFont="1" applyFill="1" applyBorder="1" applyAlignment="1">
      <alignment vertical="center"/>
    </xf>
    <xf numFmtId="10" fontId="4" fillId="4" borderId="10" xfId="1" applyNumberFormat="1" applyFont="1" applyFill="1" applyBorder="1" applyAlignment="1">
      <alignment vertical="center"/>
    </xf>
    <xf numFmtId="0" fontId="2" fillId="5" borderId="13" xfId="3" applyFont="1" applyFill="1" applyBorder="1" applyAlignment="1">
      <alignment horizontal="left" vertical="center" indent="1"/>
    </xf>
    <xf numFmtId="3" fontId="4" fillId="4" borderId="14" xfId="0" applyNumberFormat="1" applyFont="1" applyFill="1" applyBorder="1" applyAlignment="1">
      <alignment vertical="center"/>
    </xf>
    <xf numFmtId="10" fontId="4" fillId="4" borderId="14" xfId="1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10" fontId="4" fillId="4" borderId="15" xfId="1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vertical="center"/>
    </xf>
    <xf numFmtId="1" fontId="12" fillId="4" borderId="10" xfId="0" applyNumberFormat="1" applyFont="1" applyFill="1" applyBorder="1" applyAlignment="1">
      <alignment vertical="center"/>
    </xf>
    <xf numFmtId="10" fontId="12" fillId="4" borderId="10" xfId="1" applyNumberFormat="1" applyFont="1" applyFill="1" applyBorder="1" applyAlignment="1">
      <alignment vertical="center"/>
    </xf>
    <xf numFmtId="10" fontId="12" fillId="4" borderId="0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2" fontId="4" fillId="4" borderId="14" xfId="1" applyNumberFormat="1" applyFont="1" applyFill="1" applyBorder="1" applyAlignment="1">
      <alignment vertical="center"/>
    </xf>
    <xf numFmtId="3" fontId="4" fillId="6" borderId="14" xfId="0" applyNumberFormat="1" applyFont="1" applyFill="1" applyBorder="1" applyAlignment="1">
      <alignment vertical="center"/>
    </xf>
    <xf numFmtId="10" fontId="4" fillId="6" borderId="14" xfId="1" applyNumberFormat="1" applyFont="1" applyFill="1" applyBorder="1" applyAlignment="1">
      <alignment vertical="center"/>
    </xf>
    <xf numFmtId="10" fontId="4" fillId="6" borderId="15" xfId="1" applyNumberFormat="1" applyFont="1" applyFill="1" applyBorder="1" applyAlignment="1">
      <alignment vertical="center"/>
    </xf>
    <xf numFmtId="0" fontId="4" fillId="4" borderId="14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2" fontId="4" fillId="4" borderId="0" xfId="1" applyNumberFormat="1" applyFont="1" applyFill="1" applyBorder="1" applyAlignment="1">
      <alignment vertical="center"/>
    </xf>
    <xf numFmtId="0" fontId="2" fillId="6" borderId="0" xfId="3" applyFont="1" applyFill="1" applyBorder="1" applyAlignment="1">
      <alignment horizontal="left" vertical="center" indent="1"/>
    </xf>
    <xf numFmtId="3" fontId="4" fillId="6" borderId="0" xfId="0" applyNumberFormat="1" applyFont="1" applyFill="1" applyBorder="1" applyAlignment="1">
      <alignment vertical="center"/>
    </xf>
    <xf numFmtId="2" fontId="4" fillId="6" borderId="0" xfId="1" applyNumberFormat="1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2" fontId="4" fillId="4" borderId="14" xfId="0" applyNumberFormat="1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right" vertical="center"/>
    </xf>
    <xf numFmtId="2" fontId="4" fillId="4" borderId="14" xfId="0" applyNumberFormat="1" applyFont="1" applyFill="1" applyBorder="1" applyAlignment="1">
      <alignment horizontal="right" vertical="center"/>
    </xf>
    <xf numFmtId="1" fontId="4" fillId="4" borderId="14" xfId="0" applyNumberFormat="1" applyFont="1" applyFill="1" applyBorder="1" applyAlignment="1">
      <alignment horizontal="right" vertical="center"/>
    </xf>
    <xf numFmtId="2" fontId="4" fillId="4" borderId="15" xfId="0" applyNumberFormat="1" applyFont="1" applyFill="1" applyBorder="1" applyAlignment="1">
      <alignment horizontal="right" vertical="center"/>
    </xf>
    <xf numFmtId="1" fontId="12" fillId="4" borderId="0" xfId="0" applyNumberFormat="1" applyFont="1" applyFill="1" applyBorder="1" applyAlignment="1">
      <alignment vertical="center"/>
    </xf>
    <xf numFmtId="3" fontId="4" fillId="4" borderId="15" xfId="1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4" fillId="4" borderId="14" xfId="1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2" fillId="0" borderId="1" xfId="2"/>
    <xf numFmtId="0" fontId="2" fillId="0" borderId="0" xfId="3"/>
    <xf numFmtId="0" fontId="18" fillId="0" borderId="0" xfId="0" applyFont="1"/>
    <xf numFmtId="0" fontId="19" fillId="0" borderId="0" xfId="3" applyFont="1"/>
    <xf numFmtId="0" fontId="20" fillId="0" borderId="0" xfId="0" applyFont="1"/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9" fillId="0" borderId="0" xfId="3" applyFont="1" applyBorder="1"/>
    <xf numFmtId="0" fontId="2" fillId="0" borderId="0" xfId="3" applyBorder="1"/>
    <xf numFmtId="0" fontId="0" fillId="0" borderId="0" xfId="0" applyBorder="1"/>
    <xf numFmtId="0" fontId="21" fillId="6" borderId="0" xfId="4" applyFont="1" applyFill="1" applyBorder="1"/>
    <xf numFmtId="0" fontId="23" fillId="4" borderId="0" xfId="2" applyFont="1" applyFill="1" applyBorder="1" applyAlignment="1">
      <alignment vertical="center"/>
    </xf>
    <xf numFmtId="0" fontId="24" fillId="6" borderId="0" xfId="4" applyFont="1" applyFill="1" applyBorder="1"/>
    <xf numFmtId="0" fontId="24" fillId="6" borderId="19" xfId="4" applyFont="1" applyFill="1" applyBorder="1"/>
    <xf numFmtId="0" fontId="21" fillId="6" borderId="19" xfId="4" applyFont="1" applyFill="1" applyBorder="1"/>
    <xf numFmtId="0" fontId="2" fillId="7" borderId="3" xfId="3" applyFill="1" applyBorder="1" applyAlignment="1">
      <alignment vertical="center"/>
    </xf>
    <xf numFmtId="0" fontId="2" fillId="7" borderId="4" xfId="3" applyFill="1" applyBorder="1" applyAlignment="1">
      <alignment vertical="center"/>
    </xf>
    <xf numFmtId="0" fontId="2" fillId="7" borderId="5" xfId="3" applyFill="1" applyBorder="1" applyAlignment="1">
      <alignment vertical="center"/>
    </xf>
    <xf numFmtId="0" fontId="26" fillId="6" borderId="0" xfId="4" applyFont="1" applyFill="1" applyBorder="1"/>
    <xf numFmtId="0" fontId="28" fillId="6" borderId="19" xfId="4" applyFont="1" applyFill="1" applyBorder="1"/>
    <xf numFmtId="0" fontId="0" fillId="4" borderId="19" xfId="0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27" fillId="4" borderId="18" xfId="2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33" fillId="4" borderId="0" xfId="2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29" fillId="7" borderId="8" xfId="0" applyFont="1" applyFill="1" applyBorder="1" applyAlignment="1">
      <alignment vertical="center" wrapText="1"/>
    </xf>
    <xf numFmtId="10" fontId="7" fillId="4" borderId="2" xfId="1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0" fontId="35" fillId="0" borderId="0" xfId="0" applyFont="1"/>
    <xf numFmtId="0" fontId="35" fillId="4" borderId="0" xfId="0" applyFont="1" applyFill="1" applyBorder="1" applyAlignment="1">
      <alignment vertical="center"/>
    </xf>
    <xf numFmtId="0" fontId="35" fillId="0" borderId="0" xfId="0" applyFont="1" applyBorder="1"/>
    <xf numFmtId="0" fontId="35" fillId="4" borderId="0" xfId="0" applyFont="1" applyFill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5" fillId="0" borderId="20" xfId="0" applyFont="1" applyBorder="1"/>
    <xf numFmtId="0" fontId="34" fillId="6" borderId="20" xfId="4" applyFont="1" applyFill="1" applyBorder="1"/>
    <xf numFmtId="0" fontId="35" fillId="4" borderId="20" xfId="0" applyFont="1" applyFill="1" applyBorder="1" applyAlignment="1">
      <alignment vertical="center"/>
    </xf>
    <xf numFmtId="0" fontId="36" fillId="6" borderId="20" xfId="4" applyFont="1" applyFill="1" applyBorder="1"/>
    <xf numFmtId="0" fontId="37" fillId="6" borderId="20" xfId="4" applyFont="1" applyFill="1" applyBorder="1"/>
    <xf numFmtId="0" fontId="39" fillId="4" borderId="21" xfId="2" applyFont="1" applyFill="1" applyBorder="1" applyAlignment="1">
      <alignment vertical="center"/>
    </xf>
    <xf numFmtId="0" fontId="32" fillId="4" borderId="21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7" fillId="4" borderId="0" xfId="2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40" fillId="0" borderId="0" xfId="0" applyFont="1"/>
    <xf numFmtId="164" fontId="7" fillId="4" borderId="5" xfId="1" applyNumberFormat="1" applyFont="1" applyFill="1" applyBorder="1" applyAlignment="1">
      <alignment vertical="center"/>
    </xf>
    <xf numFmtId="10" fontId="7" fillId="4" borderId="5" xfId="1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 wrapText="1"/>
    </xf>
    <xf numFmtId="0" fontId="41" fillId="4" borderId="0" xfId="2" applyFont="1" applyFill="1" applyBorder="1" applyAlignment="1">
      <alignment vertical="center"/>
    </xf>
    <xf numFmtId="0" fontId="0" fillId="0" borderId="0" xfId="0" applyAlignment="1"/>
    <xf numFmtId="0" fontId="0" fillId="9" borderId="0" xfId="0" applyFill="1"/>
    <xf numFmtId="0" fontId="0" fillId="10" borderId="0" xfId="0" applyFill="1"/>
    <xf numFmtId="0" fontId="9" fillId="5" borderId="22" xfId="0" applyFont="1" applyFill="1" applyBorder="1" applyAlignment="1">
      <alignment horizontal="center" vertical="center" wrapText="1"/>
    </xf>
    <xf numFmtId="0" fontId="30" fillId="4" borderId="0" xfId="2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13" fillId="3" borderId="3" xfId="5" applyFont="1" applyBorder="1" applyAlignment="1">
      <alignment vertical="center"/>
    </xf>
    <xf numFmtId="0" fontId="13" fillId="3" borderId="4" xfId="5" applyFont="1" applyBorder="1" applyAlignment="1">
      <alignment vertical="center"/>
    </xf>
    <xf numFmtId="0" fontId="13" fillId="3" borderId="5" xfId="5" applyFont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42" fillId="0" borderId="0" xfId="0" applyFont="1"/>
    <xf numFmtId="0" fontId="9" fillId="5" borderId="7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 applyBorder="1" applyAlignment="1">
      <alignment vertical="center" wrapText="1"/>
    </xf>
    <xf numFmtId="0" fontId="2" fillId="5" borderId="29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/>
    </xf>
    <xf numFmtId="0" fontId="43" fillId="0" borderId="0" xfId="0" applyFont="1"/>
    <xf numFmtId="0" fontId="9" fillId="5" borderId="2" xfId="0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0" xfId="7" applyFont="1" applyBorder="1" applyAlignment="1">
      <alignment horizontal="left"/>
    </xf>
    <xf numFmtId="0" fontId="46" fillId="0" borderId="32" xfId="0" applyFont="1" applyBorder="1"/>
    <xf numFmtId="0" fontId="43" fillId="0" borderId="33" xfId="0" applyFont="1" applyBorder="1"/>
    <xf numFmtId="0" fontId="43" fillId="0" borderId="34" xfId="0" applyFont="1" applyBorder="1"/>
    <xf numFmtId="0" fontId="46" fillId="0" borderId="35" xfId="0" applyFont="1" applyBorder="1"/>
    <xf numFmtId="0" fontId="43" fillId="0" borderId="0" xfId="0" applyFont="1" applyBorder="1"/>
    <xf numFmtId="0" fontId="0" fillId="0" borderId="36" xfId="0" applyBorder="1"/>
    <xf numFmtId="0" fontId="46" fillId="0" borderId="30" xfId="0" applyFont="1" applyBorder="1"/>
    <xf numFmtId="0" fontId="0" fillId="0" borderId="31" xfId="0" applyBorder="1"/>
    <xf numFmtId="0" fontId="0" fillId="0" borderId="37" xfId="0" applyBorder="1"/>
    <xf numFmtId="0" fontId="47" fillId="0" borderId="0" xfId="0" applyFont="1"/>
    <xf numFmtId="0" fontId="49" fillId="4" borderId="0" xfId="0" applyFont="1" applyFill="1" applyAlignment="1">
      <alignment vertical="center"/>
    </xf>
    <xf numFmtId="0" fontId="10" fillId="7" borderId="3" xfId="0" applyFont="1" applyFill="1" applyBorder="1" applyAlignment="1">
      <alignment vertical="center"/>
    </xf>
    <xf numFmtId="0" fontId="29" fillId="7" borderId="6" xfId="0" applyFont="1" applyFill="1" applyBorder="1" applyAlignment="1">
      <alignment vertical="center"/>
    </xf>
    <xf numFmtId="0" fontId="29" fillId="7" borderId="7" xfId="0" applyFont="1" applyFill="1" applyBorder="1" applyAlignment="1">
      <alignment vertical="center"/>
    </xf>
    <xf numFmtId="0" fontId="25" fillId="7" borderId="6" xfId="0" applyFont="1" applyFill="1" applyBorder="1" applyAlignment="1">
      <alignment vertical="center" wrapText="1"/>
    </xf>
    <xf numFmtId="0" fontId="25" fillId="7" borderId="23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/>
    </xf>
    <xf numFmtId="0" fontId="0" fillId="0" borderId="0" xfId="0" applyFill="1"/>
    <xf numFmtId="0" fontId="53" fillId="13" borderId="0" xfId="0" applyFont="1" applyFill="1"/>
    <xf numFmtId="0" fontId="54" fillId="13" borderId="0" xfId="0" applyFont="1" applyFill="1"/>
    <xf numFmtId="0" fontId="53" fillId="0" borderId="0" xfId="0" applyFont="1" applyFill="1"/>
    <xf numFmtId="0" fontId="54" fillId="0" borderId="0" xfId="0" applyFont="1" applyFill="1"/>
    <xf numFmtId="0" fontId="41" fillId="0" borderId="39" xfId="0" applyFont="1" applyFill="1" applyBorder="1"/>
    <xf numFmtId="0" fontId="54" fillId="0" borderId="39" xfId="0" applyFont="1" applyFill="1" applyBorder="1"/>
    <xf numFmtId="0" fontId="0" fillId="0" borderId="39" xfId="0" applyBorder="1"/>
    <xf numFmtId="0" fontId="41" fillId="0" borderId="0" xfId="0" applyFont="1" applyFill="1"/>
    <xf numFmtId="0" fontId="50" fillId="8" borderId="40" xfId="8" applyFill="1" applyBorder="1" applyAlignment="1">
      <alignment horizontal="center"/>
    </xf>
    <xf numFmtId="0" fontId="55" fillId="8" borderId="40" xfId="8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10" fillId="5" borderId="43" xfId="0" applyFont="1" applyFill="1" applyBorder="1" applyAlignment="1">
      <alignment vertical="center"/>
    </xf>
    <xf numFmtId="0" fontId="10" fillId="5" borderId="44" xfId="0" applyFont="1" applyFill="1" applyBorder="1" applyAlignment="1">
      <alignment vertical="center"/>
    </xf>
    <xf numFmtId="0" fontId="10" fillId="5" borderId="45" xfId="0" applyFont="1" applyFill="1" applyBorder="1" applyAlignment="1">
      <alignment vertical="center"/>
    </xf>
    <xf numFmtId="0" fontId="45" fillId="0" borderId="0" xfId="7" applyFont="1" applyBorder="1" applyAlignment="1"/>
    <xf numFmtId="0" fontId="9" fillId="5" borderId="43" xfId="0" applyFont="1" applyFill="1" applyBorder="1" applyAlignment="1">
      <alignment horizontal="center" vertical="center" wrapText="1"/>
    </xf>
    <xf numFmtId="0" fontId="25" fillId="7" borderId="46" xfId="0" applyFont="1" applyFill="1" applyBorder="1" applyAlignment="1">
      <alignment vertical="center" wrapText="1"/>
    </xf>
    <xf numFmtId="10" fontId="56" fillId="4" borderId="47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2" fontId="7" fillId="14" borderId="22" xfId="0" applyNumberFormat="1" applyFont="1" applyFill="1" applyBorder="1"/>
    <xf numFmtId="2" fontId="7" fillId="0" borderId="22" xfId="0" applyNumberFormat="1" applyFont="1" applyFill="1" applyBorder="1"/>
    <xf numFmtId="0" fontId="9" fillId="5" borderId="43" xfId="0" applyFont="1" applyFill="1" applyBorder="1" applyAlignment="1">
      <alignment vertical="center" wrapText="1"/>
    </xf>
    <xf numFmtId="0" fontId="9" fillId="5" borderId="45" xfId="0" applyFont="1" applyFill="1" applyBorder="1" applyAlignment="1">
      <alignment vertical="center" wrapText="1"/>
    </xf>
    <xf numFmtId="10" fontId="7" fillId="4" borderId="47" xfId="1" applyNumberFormat="1" applyFont="1" applyFill="1" applyBorder="1" applyAlignment="1">
      <alignment vertical="center"/>
    </xf>
    <xf numFmtId="0" fontId="9" fillId="5" borderId="44" xfId="0" applyFont="1" applyFill="1" applyBorder="1" applyAlignment="1">
      <alignment vertical="center" wrapText="1"/>
    </xf>
    <xf numFmtId="0" fontId="9" fillId="5" borderId="43" xfId="0" applyFont="1" applyFill="1" applyBorder="1" applyAlignment="1">
      <alignment vertical="center"/>
    </xf>
    <xf numFmtId="0" fontId="9" fillId="5" borderId="49" xfId="0" applyFont="1" applyFill="1" applyBorder="1" applyAlignment="1">
      <alignment vertical="center"/>
    </xf>
    <xf numFmtId="0" fontId="57" fillId="0" borderId="0" xfId="0" applyFont="1"/>
    <xf numFmtId="0" fontId="9" fillId="5" borderId="47" xfId="0" applyFont="1" applyFill="1" applyBorder="1" applyAlignment="1">
      <alignment horizontal="center" vertical="center" wrapText="1"/>
    </xf>
    <xf numFmtId="10" fontId="7" fillId="0" borderId="0" xfId="1" applyNumberFormat="1" applyFont="1" applyFill="1" applyBorder="1"/>
    <xf numFmtId="10" fontId="0" fillId="0" borderId="0" xfId="0" applyNumberFormat="1"/>
    <xf numFmtId="0" fontId="3" fillId="6" borderId="0" xfId="0" applyFont="1" applyFill="1" applyBorder="1"/>
    <xf numFmtId="0" fontId="63" fillId="6" borderId="0" xfId="0" applyFont="1" applyFill="1" applyBorder="1" applyAlignment="1">
      <alignment vertical="center"/>
    </xf>
    <xf numFmtId="10" fontId="63" fillId="6" borderId="0" xfId="1" applyNumberFormat="1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60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67" fillId="0" borderId="0" xfId="0" applyFont="1"/>
    <xf numFmtId="0" fontId="68" fillId="0" borderId="0" xfId="0" applyFont="1" applyAlignment="1">
      <alignment horizontal="right"/>
    </xf>
    <xf numFmtId="0" fontId="69" fillId="0" borderId="0" xfId="0" applyFont="1"/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2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21" xfId="2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4" fillId="0" borderId="20" xfId="4" applyFont="1" applyFill="1" applyBorder="1"/>
    <xf numFmtId="0" fontId="35" fillId="0" borderId="20" xfId="0" applyFont="1" applyFill="1" applyBorder="1" applyAlignment="1">
      <alignment vertical="center"/>
    </xf>
    <xf numFmtId="0" fontId="36" fillId="0" borderId="20" xfId="4" applyFont="1" applyFill="1" applyBorder="1"/>
    <xf numFmtId="0" fontId="37" fillId="0" borderId="20" xfId="4" applyFont="1" applyFill="1" applyBorder="1"/>
    <xf numFmtId="0" fontId="35" fillId="0" borderId="20" xfId="0" applyFont="1" applyFill="1" applyBorder="1"/>
    <xf numFmtId="0" fontId="35" fillId="0" borderId="0" xfId="0" applyFont="1" applyFill="1" applyBorder="1"/>
    <xf numFmtId="0" fontId="34" fillId="0" borderId="0" xfId="4" applyFont="1" applyFill="1" applyBorder="1"/>
    <xf numFmtId="0" fontId="35" fillId="0" borderId="0" xfId="0" applyFont="1" applyFill="1" applyBorder="1" applyAlignment="1">
      <alignment vertical="center"/>
    </xf>
    <xf numFmtId="0" fontId="36" fillId="0" borderId="0" xfId="4" applyFont="1" applyFill="1" applyBorder="1"/>
    <xf numFmtId="0" fontId="37" fillId="0" borderId="0" xfId="4" applyFont="1" applyFill="1" applyBorder="1"/>
    <xf numFmtId="0" fontId="35" fillId="0" borderId="0" xfId="0" applyFont="1" applyFill="1"/>
    <xf numFmtId="0" fontId="38" fillId="0" borderId="0" xfId="2" applyFont="1" applyFill="1" applyBorder="1" applyAlignment="1">
      <alignment vertical="center"/>
    </xf>
    <xf numFmtId="0" fontId="3" fillId="0" borderId="0" xfId="0" applyFont="1" applyFill="1" applyBorder="1"/>
    <xf numFmtId="0" fontId="58" fillId="0" borderId="0" xfId="3" applyFont="1" applyFill="1" applyBorder="1" applyAlignment="1">
      <alignment horizontal="left" vertical="center" indent="1"/>
    </xf>
    <xf numFmtId="0" fontId="59" fillId="0" borderId="0" xfId="0" applyNumberFormat="1" applyFont="1" applyFill="1" applyBorder="1" applyAlignment="1">
      <alignment vertical="center"/>
    </xf>
    <xf numFmtId="1" fontId="59" fillId="0" borderId="0" xfId="0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10" fontId="59" fillId="0" borderId="0" xfId="1" applyNumberFormat="1" applyFont="1" applyFill="1" applyBorder="1" applyAlignment="1">
      <alignment horizontal="right" vertical="center"/>
    </xf>
    <xf numFmtId="10" fontId="59" fillId="0" borderId="0" xfId="1" applyNumberFormat="1" applyFont="1" applyFill="1" applyBorder="1" applyAlignment="1">
      <alignment vertical="center"/>
    </xf>
    <xf numFmtId="10" fontId="60" fillId="0" borderId="0" xfId="1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indent="1"/>
    </xf>
    <xf numFmtId="3" fontId="59" fillId="0" borderId="0" xfId="1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vertical="center"/>
    </xf>
    <xf numFmtId="10" fontId="3" fillId="0" borderId="0" xfId="1" applyNumberFormat="1" applyFont="1" applyFill="1" applyBorder="1"/>
    <xf numFmtId="10" fontId="35" fillId="0" borderId="0" xfId="1" applyNumberFormat="1" applyFont="1" applyFill="1"/>
    <xf numFmtId="0" fontId="17" fillId="0" borderId="0" xfId="4" applyFont="1" applyFill="1" applyBorder="1"/>
    <xf numFmtId="0" fontId="35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10" fillId="0" borderId="48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164" fontId="58" fillId="0" borderId="0" xfId="1" applyNumberFormat="1" applyFont="1" applyFill="1" applyBorder="1" applyAlignment="1">
      <alignment horizontal="left" vertical="center" indent="1"/>
    </xf>
    <xf numFmtId="0" fontId="38" fillId="0" borderId="0" xfId="4" applyFont="1" applyFill="1" applyBorder="1"/>
    <xf numFmtId="0" fontId="61" fillId="0" borderId="0" xfId="0" applyFont="1" applyFill="1" applyBorder="1" applyAlignment="1">
      <alignment horizontal="center" vertical="center" wrapText="1" shrinkToFit="1"/>
    </xf>
    <xf numFmtId="10" fontId="58" fillId="0" borderId="0" xfId="1" applyNumberFormat="1" applyFont="1" applyFill="1" applyBorder="1" applyAlignment="1">
      <alignment horizontal="left" vertical="center" indent="1"/>
    </xf>
    <xf numFmtId="0" fontId="62" fillId="0" borderId="0" xfId="2" applyFont="1" applyFill="1" applyBorder="1" applyAlignment="1">
      <alignment vertical="center"/>
    </xf>
    <xf numFmtId="9" fontId="58" fillId="0" borderId="0" xfId="1" applyFont="1" applyFill="1" applyBorder="1" applyAlignment="1">
      <alignment horizontal="left" vertical="center" indent="1"/>
    </xf>
    <xf numFmtId="0" fontId="29" fillId="0" borderId="0" xfId="2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indent="1"/>
    </xf>
    <xf numFmtId="0" fontId="6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/>
    </xf>
    <xf numFmtId="2" fontId="59" fillId="0" borderId="0" xfId="6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horizontal="left" vertical="center" indent="1"/>
    </xf>
    <xf numFmtId="2" fontId="60" fillId="0" borderId="0" xfId="1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1" fontId="63" fillId="0" borderId="0" xfId="0" applyNumberFormat="1" applyFont="1" applyFill="1" applyBorder="1" applyAlignment="1">
      <alignment vertical="center"/>
    </xf>
    <xf numFmtId="10" fontId="63" fillId="0" borderId="0" xfId="1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2" fontId="60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/>
    <xf numFmtId="0" fontId="64" fillId="0" borderId="0" xfId="4" applyFont="1" applyFill="1" applyBorder="1"/>
    <xf numFmtId="0" fontId="31" fillId="0" borderId="0" xfId="0" applyFont="1" applyFill="1" applyAlignment="1">
      <alignment vertical="center"/>
    </xf>
    <xf numFmtId="0" fontId="23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1" fillId="0" borderId="0" xfId="0" quotePrefix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2" fontId="59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horizontal="right" vertical="center"/>
    </xf>
    <xf numFmtId="164" fontId="35" fillId="0" borderId="0" xfId="1" applyNumberFormat="1" applyFont="1" applyFill="1"/>
    <xf numFmtId="0" fontId="66" fillId="0" borderId="0" xfId="0" applyFont="1" applyFill="1" applyBorder="1" applyAlignment="1">
      <alignment vertical="center"/>
    </xf>
    <xf numFmtId="10" fontId="72" fillId="4" borderId="28" xfId="1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3" fillId="4" borderId="5" xfId="0" applyFont="1" applyFill="1" applyBorder="1" applyAlignment="1">
      <alignment horizontal="left" vertical="center" wrapText="1"/>
    </xf>
    <xf numFmtId="2" fontId="72" fillId="4" borderId="28" xfId="0" applyNumberFormat="1" applyFont="1" applyFill="1" applyBorder="1" applyAlignment="1">
      <alignment vertical="center"/>
    </xf>
    <xf numFmtId="0" fontId="9" fillId="5" borderId="44" xfId="0" applyFont="1" applyFill="1" applyBorder="1" applyAlignment="1">
      <alignment vertical="center"/>
    </xf>
    <xf numFmtId="0" fontId="9" fillId="5" borderId="47" xfId="0" applyFont="1" applyFill="1" applyBorder="1" applyAlignment="1">
      <alignment horizontal="left" vertical="center" indent="1"/>
    </xf>
    <xf numFmtId="2" fontId="7" fillId="15" borderId="22" xfId="0" applyNumberFormat="1" applyFont="1" applyFill="1" applyBorder="1"/>
    <xf numFmtId="9" fontId="7" fillId="15" borderId="22" xfId="1" applyFont="1" applyFill="1" applyBorder="1"/>
    <xf numFmtId="9" fontId="7" fillId="0" borderId="22" xfId="1" applyFont="1" applyFill="1" applyBorder="1"/>
    <xf numFmtId="9" fontId="0" fillId="0" borderId="0" xfId="1" applyFont="1"/>
    <xf numFmtId="9" fontId="7" fillId="4" borderId="2" xfId="1" applyFont="1" applyFill="1" applyBorder="1" applyAlignment="1">
      <alignment vertical="center"/>
    </xf>
    <xf numFmtId="0" fontId="8" fillId="2" borderId="0" xfId="4" applyFont="1" applyAlignment="1">
      <alignment horizontal="center" vertical="center"/>
    </xf>
    <xf numFmtId="0" fontId="45" fillId="0" borderId="0" xfId="7" applyFont="1" applyBorder="1" applyAlignment="1">
      <alignment horizontal="left"/>
    </xf>
    <xf numFmtId="0" fontId="52" fillId="12" borderId="0" xfId="0" applyFont="1" applyFill="1" applyAlignment="1">
      <alignment horizontal="center"/>
    </xf>
    <xf numFmtId="0" fontId="51" fillId="12" borderId="41" xfId="0" applyFont="1" applyFill="1" applyBorder="1" applyAlignment="1">
      <alignment horizontal="center"/>
    </xf>
    <xf numFmtId="0" fontId="51" fillId="12" borderId="4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3" fillId="3" borderId="3" xfId="5" applyFont="1" applyBorder="1" applyAlignment="1">
      <alignment horizontal="center" vertical="center"/>
    </xf>
    <xf numFmtId="0" fontId="13" fillId="3" borderId="4" xfId="5" applyFont="1" applyBorder="1" applyAlignment="1">
      <alignment horizontal="center" vertical="center"/>
    </xf>
    <xf numFmtId="0" fontId="13" fillId="3" borderId="5" xfId="5" applyFont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13" fillId="3" borderId="6" xfId="5" applyFont="1" applyBorder="1" applyAlignment="1">
      <alignment horizontal="center" vertical="center"/>
    </xf>
    <xf numFmtId="0" fontId="13" fillId="3" borderId="7" xfId="5" applyFont="1" applyBorder="1" applyAlignment="1">
      <alignment horizontal="center" vertical="center"/>
    </xf>
    <xf numFmtId="0" fontId="13" fillId="3" borderId="8" xfId="5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" xfId="0" quotePrefix="1" applyFont="1" applyFill="1" applyBorder="1" applyAlignment="1">
      <alignment horizontal="center" vertical="center"/>
    </xf>
    <xf numFmtId="0" fontId="2" fillId="5" borderId="3" xfId="3" applyFill="1" applyBorder="1" applyAlignment="1">
      <alignment horizontal="center" vertical="center"/>
    </xf>
    <xf numFmtId="0" fontId="2" fillId="5" borderId="4" xfId="3" applyFill="1" applyBorder="1" applyAlignment="1">
      <alignment horizontal="center" vertical="center"/>
    </xf>
    <xf numFmtId="0" fontId="2" fillId="5" borderId="5" xfId="3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" fillId="7" borderId="2" xfId="3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vertical="center"/>
    </xf>
    <xf numFmtId="0" fontId="25" fillId="7" borderId="43" xfId="0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 wrapText="1"/>
    </xf>
    <xf numFmtId="0" fontId="25" fillId="7" borderId="4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0" fillId="0" borderId="8" xfId="0" applyBorder="1"/>
    <xf numFmtId="0" fontId="25" fillId="7" borderId="2" xfId="3" applyFont="1" applyFill="1" applyBorder="1" applyAlignment="1">
      <alignment horizontal="center" vertical="center"/>
    </xf>
    <xf numFmtId="0" fontId="25" fillId="7" borderId="2" xfId="3" applyFont="1" applyFill="1" applyBorder="1" applyAlignment="1">
      <alignment vertical="center"/>
    </xf>
    <xf numFmtId="0" fontId="2" fillId="5" borderId="3" xfId="3" applyFill="1" applyBorder="1" applyAlignment="1">
      <alignment horizontal="center" vertical="center" wrapText="1"/>
    </xf>
    <xf numFmtId="0" fontId="2" fillId="5" borderId="4" xfId="3" applyFill="1" applyBorder="1" applyAlignment="1">
      <alignment horizontal="center" vertical="center" wrapText="1"/>
    </xf>
    <xf numFmtId="0" fontId="2" fillId="5" borderId="5" xfId="3" applyFill="1" applyBorder="1" applyAlignment="1">
      <alignment horizontal="center" vertical="center" wrapText="1"/>
    </xf>
    <xf numFmtId="0" fontId="48" fillId="5" borderId="2" xfId="3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center" vertical="center"/>
    </xf>
    <xf numFmtId="0" fontId="51" fillId="0" borderId="0" xfId="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1" fillId="0" borderId="0" xfId="9" applyFont="1" applyAlignment="1" applyProtection="1">
      <alignment horizontal="left"/>
    </xf>
    <xf numFmtId="0" fontId="29" fillId="7" borderId="26" xfId="0" applyFont="1" applyFill="1" applyBorder="1" applyAlignment="1">
      <alignment horizontal="center" vertical="center" wrapText="1"/>
    </xf>
    <xf numFmtId="0" fontId="29" fillId="7" borderId="27" xfId="0" applyFont="1" applyFill="1" applyBorder="1" applyAlignment="1">
      <alignment horizontal="center" vertical="center" wrapText="1"/>
    </xf>
    <xf numFmtId="0" fontId="13" fillId="3" borderId="12" xfId="5" applyFont="1" applyBorder="1" applyAlignment="1">
      <alignment horizontal="center" vertical="center"/>
    </xf>
    <xf numFmtId="0" fontId="13" fillId="3" borderId="0" xfId="5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5" fillId="7" borderId="27" xfId="0" applyFont="1" applyFill="1" applyBorder="1" applyAlignment="1">
      <alignment horizontal="center" vertical="center" wrapText="1"/>
    </xf>
    <xf numFmtId="9" fontId="7" fillId="4" borderId="3" xfId="1" applyFont="1" applyFill="1" applyBorder="1" applyAlignment="1">
      <alignment horizontal="right" vertical="center"/>
    </xf>
    <xf numFmtId="9" fontId="7" fillId="4" borderId="5" xfId="1" applyFont="1" applyFill="1" applyBorder="1" applyAlignment="1">
      <alignment horizontal="right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</cellXfs>
  <cellStyles count="10">
    <cellStyle name="40% - Énfasis1" xfId="5" builtinId="31"/>
    <cellStyle name="Encabezado 4" xfId="3" builtinId="19"/>
    <cellStyle name="Énfasis1" xfId="4" builtinId="29"/>
    <cellStyle name="Euro" xfId="6"/>
    <cellStyle name="Hipervínculo" xfId="9" builtinId="8"/>
    <cellStyle name="Normal" xfId="0" builtinId="0"/>
    <cellStyle name="Porcentaje" xfId="1" builtinId="5"/>
    <cellStyle name="Salida" xfId="8" builtinId="21"/>
    <cellStyle name="Título 2" xfId="7" builtinId="17"/>
    <cellStyle name="Título 3" xfId="2" builtinId="18"/>
  </cellStyles>
  <dxfs count="0"/>
  <tableStyles count="0" defaultTableStyle="TableStyleMedium9" defaultPivotStyle="PivotStyleLight16"/>
  <colors>
    <mruColors>
      <color rgb="FF1F4A7F"/>
      <color rgb="FF2A65AC"/>
      <color rgb="FF10253F"/>
      <color rgb="FF9BC7FF"/>
      <color rgb="FF4D8AD3"/>
      <color rgb="FF17375D"/>
      <color rgb="FFD2D6CA"/>
      <color rgb="FFC4DCC7"/>
      <color rgb="FFB4BE54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layout>
        <c:manualLayout>
          <c:xMode val="edge"/>
          <c:yMode val="edge"/>
          <c:x val="0.10275433991803656"/>
          <c:y val="2.95475530932594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4.6874982732421633E-2"/>
          <c:y val="0.27370689467140707"/>
          <c:w val="0.42398968549983967"/>
          <c:h val="0.59939218124050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Taules!$E$24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 UPC</c:v>
              </c:pt>
            </c:strLit>
          </c:cat>
          <c:val>
            <c:numRef>
              <c:f>Taules!$F$26</c:f>
              <c:numCache>
                <c:formatCode>0.00%</c:formatCode>
                <c:ptCount val="1"/>
                <c:pt idx="0">
                  <c:v>0.87702627166014535</c:v>
                </c:pt>
              </c:numCache>
            </c:numRef>
          </c:val>
        </c:ser>
        <c:ser>
          <c:idx val="3"/>
          <c:order val="1"/>
          <c:tx>
            <c:strRef>
              <c:f>Taules!$G$24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 UPC</c:v>
              </c:pt>
            </c:strLit>
          </c:cat>
          <c:val>
            <c:numRef>
              <c:f>Taules!$H$26</c:f>
              <c:numCache>
                <c:formatCode>0.00%</c:formatCode>
                <c:ptCount val="1"/>
                <c:pt idx="0">
                  <c:v>0.11682504192286193</c:v>
                </c:pt>
              </c:numCache>
            </c:numRef>
          </c:val>
        </c:ser>
        <c:ser>
          <c:idx val="5"/>
          <c:order val="2"/>
          <c:tx>
            <c:strRef>
              <c:f>Taules!$I$24</c:f>
              <c:strCache>
                <c:ptCount val="1"/>
                <c:pt idx="0">
                  <c:v>No ha treballat mai</c:v>
                </c:pt>
              </c:strCache>
            </c:strRef>
          </c:tx>
          <c:invertIfNegative val="0"/>
          <c:dLbls>
            <c:delete val="1"/>
          </c:dLbls>
          <c:cat>
            <c:strLit>
              <c:ptCount val="1"/>
              <c:pt idx="0">
                <c:v>TOTAL UPC</c:v>
              </c:pt>
            </c:strLit>
          </c:cat>
          <c:val>
            <c:numRef>
              <c:f>Taules!$J$26</c:f>
              <c:numCache>
                <c:formatCode>0.00%</c:formatCode>
                <c:ptCount val="1"/>
                <c:pt idx="0">
                  <c:v>6.1486864169927333E-3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03709824"/>
        <c:axId val="203715712"/>
      </c:barChart>
      <c:catAx>
        <c:axId val="20370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es-ES"/>
          </a:p>
        </c:txPr>
        <c:crossAx val="203715712"/>
        <c:crosses val="autoZero"/>
        <c:auto val="1"/>
        <c:lblAlgn val="ctr"/>
        <c:lblOffset val="100"/>
        <c:noMultiLvlLbl val="0"/>
      </c:catAx>
      <c:valAx>
        <c:axId val="203715712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20370982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53702555601602464"/>
          <c:y val="6.1125918816934577E-2"/>
          <c:w val="0.32637409042347404"/>
          <c:h val="0.18698191811896109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>
                <a:latin typeface="Arial Rounded MT Bold" pitchFamily="34" charset="0"/>
              </a:defRPr>
            </a:pPr>
            <a:r>
              <a:rPr lang="es-ES" sz="2000" b="0" i="0" u="none" strike="noStrike" baseline="0"/>
              <a:t>La feina actual és la 1a feina 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341949595515593E-2"/>
          <c:y val="0.19763773148148156"/>
          <c:w val="0.94816514059324386"/>
          <c:h val="0.73067500000000074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Gràfics!$H$95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Gràfics!$F$96:$G$96</c:f>
              <c:strCache>
                <c:ptCount val="2"/>
                <c:pt idx="0">
                  <c:v>TOTAL UPC</c:v>
                </c:pt>
                <c:pt idx="1">
                  <c:v>1778</c:v>
                </c:pt>
              </c:strCache>
            </c:strRef>
          </c:cat>
          <c:val>
            <c:numRef>
              <c:f>Gràfics!$H$96</c:f>
              <c:numCache>
                <c:formatCode>General</c:formatCode>
                <c:ptCount val="1"/>
                <c:pt idx="0">
                  <c:v>0.67660292463442073</c:v>
                </c:pt>
              </c:numCache>
            </c:numRef>
          </c:val>
        </c:ser>
        <c:ser>
          <c:idx val="0"/>
          <c:order val="1"/>
          <c:tx>
            <c:strRef>
              <c:f>Gràfics!$I$95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Gràfics!$F$96:$G$96</c:f>
              <c:strCache>
                <c:ptCount val="2"/>
                <c:pt idx="0">
                  <c:v>TOTAL UPC</c:v>
                </c:pt>
                <c:pt idx="1">
                  <c:v>1778</c:v>
                </c:pt>
              </c:strCache>
            </c:strRef>
          </c:cat>
          <c:val>
            <c:numRef>
              <c:f>Gràfics!$I$96</c:f>
              <c:numCache>
                <c:formatCode>General</c:formatCode>
                <c:ptCount val="1"/>
                <c:pt idx="0">
                  <c:v>0.32339707536557932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5466752"/>
        <c:axId val="215468288"/>
        <c:axId val="0"/>
      </c:bar3DChart>
      <c:catAx>
        <c:axId val="2154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es-ES"/>
          </a:p>
        </c:txPr>
        <c:crossAx val="215468288"/>
        <c:crosses val="autoZero"/>
        <c:auto val="1"/>
        <c:lblAlgn val="ctr"/>
        <c:lblOffset val="100"/>
        <c:noMultiLvlLbl val="0"/>
      </c:catAx>
      <c:valAx>
        <c:axId val="21546828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5466752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2000" b="0" i="0" u="none" strike="noStrike" kern="1200" baseline="0">
                <a:solidFill>
                  <a:sysClr val="windowText" lastClr="000000"/>
                </a:solidFill>
                <a:latin typeface="Arial Rounded MT Bold" pitchFamily="34" charset="0"/>
                <a:ea typeface="+mn-ea"/>
                <a:cs typeface="+mn-cs"/>
              </a:rPr>
              <a:t>Temps</a:t>
            </a:r>
            <a:r>
              <a:rPr lang="es-ES" sz="2000" baseline="0"/>
              <a:t> 1a inserció</a:t>
            </a:r>
            <a:endParaRPr lang="es-ES" sz="2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5"/>
          <c:order val="0"/>
          <c:tx>
            <c:strRef>
              <c:f>Gràfics!$P$95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Gràfics!$F$96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Gràfics!$P$96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Gràfics!$O$95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7202332612909289E-3"/>
                  <c:y val="2.93958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 algn="ctr"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Gràfics!$O$96</c:f>
              <c:numCache>
                <c:formatCode>General</c:formatCode>
                <c:ptCount val="1"/>
                <c:pt idx="0">
                  <c:v>2.0809898762654669E-2</c:v>
                </c:pt>
              </c:numCache>
            </c:numRef>
          </c:val>
        </c:ser>
        <c:ser>
          <c:idx val="3"/>
          <c:order val="2"/>
          <c:tx>
            <c:strRef>
              <c:f>Gràfics!$N$95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601166306454644E-3"/>
                  <c:y val="-5.8796296296296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 algn="ctr">
                  <a:defRPr lang="es-E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Gràfics!$N$96</c:f>
              <c:numCache>
                <c:formatCode>General</c:formatCode>
                <c:ptCount val="1"/>
                <c:pt idx="0">
                  <c:v>5.6805399325084362E-2</c:v>
                </c:pt>
              </c:numCache>
            </c:numRef>
          </c:val>
        </c:ser>
        <c:ser>
          <c:idx val="2"/>
          <c:order val="3"/>
          <c:tx>
            <c:strRef>
              <c:f>Gràfics!$M$95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Gràfics!$M$96</c:f>
              <c:numCache>
                <c:formatCode>General</c:formatCode>
                <c:ptCount val="1"/>
                <c:pt idx="0">
                  <c:v>0.13779527559055119</c:v>
                </c:pt>
              </c:numCache>
            </c:numRef>
          </c:val>
        </c:ser>
        <c:ser>
          <c:idx val="0"/>
          <c:order val="4"/>
          <c:tx>
            <c:strRef>
              <c:f>Gràfics!$L$95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Gràfics!$L$96</c:f>
              <c:numCache>
                <c:formatCode>General</c:formatCode>
                <c:ptCount val="1"/>
                <c:pt idx="0">
                  <c:v>0.17604049493813273</c:v>
                </c:pt>
              </c:numCache>
            </c:numRef>
          </c:val>
        </c:ser>
        <c:ser>
          <c:idx val="1"/>
          <c:order val="5"/>
          <c:tx>
            <c:strRef>
              <c:f>Gràfics!$K$95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Gràfics!$F$96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Gràfics!$K$96</c:f>
              <c:numCache>
                <c:formatCode>General</c:formatCode>
                <c:ptCount val="1"/>
                <c:pt idx="0">
                  <c:v>0.55961754780652417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5548672"/>
        <c:axId val="215550208"/>
        <c:axId val="0"/>
      </c:bar3DChart>
      <c:catAx>
        <c:axId val="21554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5550208"/>
        <c:crosses val="autoZero"/>
        <c:auto val="1"/>
        <c:lblAlgn val="ctr"/>
        <c:lblOffset val="100"/>
        <c:noMultiLvlLbl val="0"/>
      </c:catAx>
      <c:valAx>
        <c:axId val="21555020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5548672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6.8216104915546874E-2"/>
          <c:y val="0.1364516203703704"/>
          <c:w val="0.86356779016890628"/>
          <c:h val="8.8681944444444452E-2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8100000" algn="tr" rotWithShape="0">
        <a:prstClr val="black">
          <a:alpha val="40000"/>
        </a:prstClr>
      </a:outerShdw>
    </a:effectLst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 sz="1800"/>
              <a:t>Vies d'accés al primer treball per a qui n'ha tingut més d'un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1.2018819914166246E-2"/>
          <c:y val="2.067708782314685E-3"/>
          <c:w val="0.97463115587766957"/>
          <c:h val="0.875312790341273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Gràfics!$C$123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F7964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4BACC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EEECE1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 anchor="t" anchorCtr="0"/>
              <a:lstStyle/>
              <a:p>
                <a:pPr>
                  <a:defRPr sz="12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(Gràfics!$F$122,Gràfics!$J$122:$M$122,Gràfics!$P$122:$Q$122)</c:f>
              <c:strCache>
                <c:ptCount val="7"/>
                <c:pt idx="0">
                  <c:v>Contactes</c:v>
                </c:pt>
                <c:pt idx="1">
                  <c:v>Borsa de treball institucional</c:v>
                </c:pt>
                <c:pt idx="2">
                  <c:v>Pròpia empresa</c:v>
                </c:pt>
                <c:pt idx="3">
                  <c:v>Pràctiques
d'estudis</c:v>
                </c:pt>
                <c:pt idx="4">
                  <c:v>Serveis
Universitat</c:v>
                </c:pt>
                <c:pt idx="5">
                  <c:v>Internet</c:v>
                </c:pt>
                <c:pt idx="6">
                  <c:v>Altres</c:v>
                </c:pt>
              </c:strCache>
            </c:strRef>
          </c:cat>
          <c:val>
            <c:numRef>
              <c:f>(Gràfics!$F$123,Gràfics!$J$123:$M$123,Gràfics!$P$123:$Q$123)</c:f>
              <c:numCache>
                <c:formatCode>0.0%</c:formatCode>
                <c:ptCount val="7"/>
                <c:pt idx="0">
                  <c:v>0.31889763779527558</c:v>
                </c:pt>
                <c:pt idx="1">
                  <c:v>2.6434195725534307E-2</c:v>
                </c:pt>
                <c:pt idx="2">
                  <c:v>1.1811023622047244E-2</c:v>
                </c:pt>
                <c:pt idx="3">
                  <c:v>0.10461192350956131</c:v>
                </c:pt>
                <c:pt idx="4">
                  <c:v>0.18278965129358829</c:v>
                </c:pt>
                <c:pt idx="5">
                  <c:v>0.24634420697412823</c:v>
                </c:pt>
                <c:pt idx="6">
                  <c:v>5.9617547806524188E-2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5590016"/>
        <c:axId val="215591552"/>
      </c:barChart>
      <c:catAx>
        <c:axId val="2155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es-ES"/>
          </a:p>
        </c:txPr>
        <c:crossAx val="215591552"/>
        <c:crosses val="autoZero"/>
        <c:auto val="1"/>
        <c:lblAlgn val="ctr"/>
        <c:lblOffset val="100"/>
        <c:noMultiLvlLbl val="0"/>
      </c:catAx>
      <c:valAx>
        <c:axId val="215591552"/>
        <c:scaling>
          <c:orientation val="minMax"/>
          <c:max val="0.60000000000000064"/>
        </c:scaling>
        <c:delete val="1"/>
        <c:axPos val="l"/>
        <c:numFmt formatCode="0%" sourceLinked="0"/>
        <c:majorTickMark val="none"/>
        <c:minorTickMark val="none"/>
        <c:tickLblPos val="none"/>
        <c:crossAx val="215590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/>
              <a:t>Requisits per a la feina actual  (o la darrera</a:t>
            </a:r>
            <a:r>
              <a:rPr lang="es-ES" baseline="0"/>
              <a:t> feina)</a:t>
            </a:r>
            <a:endParaRPr lang="es-ES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549731959910463E-2"/>
          <c:y val="6.4592435762408598E-2"/>
          <c:w val="0.95310631209258923"/>
          <c:h val="0.7029696601867613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Gràfics!$E$151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8475751473307843E-2"/>
                  <c:y val="-4.5584045584045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8060117864626E-2"/>
                  <c:y val="-4.1025641025641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12317943533447E-2"/>
                  <c:y val="-4.5584045584045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771933856653868E-2"/>
                  <c:y val="-3.422675033445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17090176796949E-2"/>
                  <c:y val="-4.786324786324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02618532856582E-2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Gràfics!$G$149:$L$150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Gràfics!$G$151:$L$151</c:f>
              <c:numCache>
                <c:formatCode>0.00%</c:formatCode>
                <c:ptCount val="6"/>
                <c:pt idx="0">
                  <c:v>0.60517435320584922</c:v>
                </c:pt>
                <c:pt idx="1">
                  <c:v>6.7491563554555684E-2</c:v>
                </c:pt>
                <c:pt idx="2">
                  <c:v>0.13835770528683913</c:v>
                </c:pt>
                <c:pt idx="3">
                  <c:v>3.3183352080989874E-2</c:v>
                </c:pt>
                <c:pt idx="4">
                  <c:v>7.536557930258718E-2</c:v>
                </c:pt>
                <c:pt idx="5">
                  <c:v>8.0427446569178856E-2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5905792"/>
        <c:axId val="215907328"/>
        <c:axId val="0"/>
      </c:bar3DChart>
      <c:catAx>
        <c:axId val="215905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es-ES"/>
          </a:p>
        </c:txPr>
        <c:crossAx val="215907328"/>
        <c:crosses val="autoZero"/>
        <c:auto val="1"/>
        <c:lblAlgn val="ctr"/>
        <c:lblOffset val="100"/>
        <c:noMultiLvlLbl val="0"/>
      </c:catAx>
      <c:valAx>
        <c:axId val="215907328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215905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Tipologia de contracte dels titulats</a:t>
            </a:r>
            <a:r>
              <a:rPr lang="es-ES" baseline="0"/>
              <a:t> ocupats</a:t>
            </a:r>
            <a:endParaRPr lang="es-ES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924653310567738E-2"/>
          <c:y val="4.5298840488070286E-2"/>
          <c:w val="0.95572532090195317"/>
          <c:h val="0.8460346406609667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Gràfics!$D$181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F7964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6527611823158733E-2"/>
                  <c:y val="-4.697754238477475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84385601296853E-2"/>
                  <c:y val="-4.9740927230938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512514135062323E-2"/>
                  <c:y val="-4.14507726924485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070321334414109E-2"/>
                  <c:y val="-6.07944666155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03075054949263E-2"/>
                  <c:y val="-3.8599158807533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Gràfics!$G$180:$K$180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</c:v>
                </c:pt>
                <c:pt idx="4">
                  <c:v>Sense
contracte</c:v>
                </c:pt>
              </c:strCache>
            </c:strRef>
          </c:cat>
          <c:val>
            <c:numRef>
              <c:f>Gràfics!$G$181:$K$181</c:f>
              <c:numCache>
                <c:formatCode>0%</c:formatCode>
                <c:ptCount val="5"/>
                <c:pt idx="0">
                  <c:v>0.63442069741282336</c:v>
                </c:pt>
                <c:pt idx="1">
                  <c:v>9.6737907761529809E-2</c:v>
                </c:pt>
                <c:pt idx="2">
                  <c:v>0.2283464566929134</c:v>
                </c:pt>
                <c:pt idx="3">
                  <c:v>3.5433070866141732E-2</c:v>
                </c:pt>
                <c:pt idx="4">
                  <c:v>3.937007874015748E-3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5968000"/>
        <c:axId val="215982080"/>
        <c:axId val="0"/>
      </c:bar3DChart>
      <c:catAx>
        <c:axId val="21596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5982080"/>
        <c:crosses val="autoZero"/>
        <c:auto val="1"/>
        <c:lblAlgn val="ctr"/>
        <c:lblOffset val="100"/>
        <c:noMultiLvlLbl val="0"/>
      </c:catAx>
      <c:valAx>
        <c:axId val="215982080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215968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3"/>
          <c:order val="0"/>
          <c:tx>
            <c:strRef>
              <c:f>Gràfics!$H$210</c:f>
              <c:strCache>
                <c:ptCount val="1"/>
                <c:pt idx="0">
                  <c:v>Temps parcial,…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Gràfics!$D$211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Gràfics!$H$211</c:f>
              <c:numCache>
                <c:formatCode>0.0%</c:formatCode>
                <c:ptCount val="1"/>
                <c:pt idx="0">
                  <c:v>7.5218658892128282E-2</c:v>
                </c:pt>
              </c:numCache>
            </c:numRef>
          </c:val>
        </c:ser>
        <c:ser>
          <c:idx val="2"/>
          <c:order val="1"/>
          <c:tx>
            <c:strRef>
              <c:f>Gràfics!$G$210</c:f>
              <c:strCache>
                <c:ptCount val="1"/>
                <c:pt idx="0">
                  <c:v>Temps complert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Gràfics!$D$211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Gràfics!$G$211</c:f>
              <c:numCache>
                <c:formatCode>0.0%</c:formatCode>
                <c:ptCount val="1"/>
                <c:pt idx="0">
                  <c:v>0.92419825072886297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6004096"/>
        <c:axId val="216005632"/>
        <c:axId val="0"/>
      </c:bar3DChart>
      <c:catAx>
        <c:axId val="2160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6005632"/>
        <c:crosses val="autoZero"/>
        <c:auto val="1"/>
        <c:lblAlgn val="ctr"/>
        <c:lblOffset val="100"/>
        <c:noMultiLvlLbl val="0"/>
      </c:catAx>
      <c:valAx>
        <c:axId val="216005632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21600409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33795020768035305"/>
          <c:y val="3.392280443822613E-2"/>
          <c:w val="0.41949240740740823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Gràfics!$E$239</c:f>
              <c:strCache>
                <c:ptCount val="1"/>
                <c:pt idx="0">
                  <c:v>Menys
6 mesos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Gràfics!$F$236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Gràfics!$F$239</c:f>
              <c:numCache>
                <c:formatCode>0.00%</c:formatCode>
                <c:ptCount val="1"/>
                <c:pt idx="0">
                  <c:v>0.24215246636771301</c:v>
                </c:pt>
              </c:numCache>
            </c:numRef>
          </c:val>
        </c:ser>
        <c:ser>
          <c:idx val="2"/>
          <c:order val="1"/>
          <c:tx>
            <c:strRef>
              <c:f>Gràfics!$E$240</c:f>
              <c:strCache>
                <c:ptCount val="1"/>
                <c:pt idx="0">
                  <c:v>Entre
6-12 mesos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Gràfics!$F$236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Gràfics!$F$240</c:f>
              <c:numCache>
                <c:formatCode>0.00%</c:formatCode>
                <c:ptCount val="1"/>
                <c:pt idx="0">
                  <c:v>0.53363228699551568</c:v>
                </c:pt>
              </c:numCache>
            </c:numRef>
          </c:val>
        </c:ser>
        <c:ser>
          <c:idx val="3"/>
          <c:order val="2"/>
          <c:tx>
            <c:strRef>
              <c:f>Gràfics!$E$241</c:f>
              <c:strCache>
                <c:ptCount val="1"/>
                <c:pt idx="0">
                  <c:v>Més d'1 any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Gràfics!$F$236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Gràfics!$F$241</c:f>
              <c:numCache>
                <c:formatCode>0.00%</c:formatCode>
                <c:ptCount val="1"/>
                <c:pt idx="0">
                  <c:v>0.21076233183856502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6050304"/>
        <c:axId val="216068480"/>
        <c:axId val="0"/>
      </c:bar3DChart>
      <c:catAx>
        <c:axId val="21605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6068480"/>
        <c:crosses val="autoZero"/>
        <c:auto val="1"/>
        <c:lblAlgn val="ctr"/>
        <c:lblOffset val="100"/>
        <c:noMultiLvlLbl val="0"/>
      </c:catAx>
      <c:valAx>
        <c:axId val="21606848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605030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21606277777777791"/>
          <c:y val="4.7466435185185424E-2"/>
          <c:w val="0.45716740740740741"/>
          <c:h val="8.8681944444444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/>
              <a:t>Àmbit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1991022949912991"/>
          <c:w val="0.99379977530060248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Gràfics!$F$266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5.6620681558450819E-2"/>
                  <c:y val="-8.717273931027044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193832952642324E-2"/>
                  <c:y val="-9.603388403443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611145818508032E-3"/>
                  <c:y val="-5.313562770945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Gràfics!$I$265:$J$265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Gràfics!$I$266:$J$266</c:f>
              <c:numCache>
                <c:formatCode>General</c:formatCode>
                <c:ptCount val="2"/>
                <c:pt idx="0">
                  <c:v>0.13554555680539931</c:v>
                </c:pt>
                <c:pt idx="1">
                  <c:v>0.86332958380202474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6159744"/>
        <c:axId val="216161280"/>
        <c:axId val="0"/>
      </c:bar3DChart>
      <c:catAx>
        <c:axId val="21615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6161280"/>
        <c:crosses val="autoZero"/>
        <c:auto val="1"/>
        <c:lblAlgn val="ctr"/>
        <c:lblOffset val="100"/>
        <c:noMultiLvlLbl val="0"/>
      </c:catAx>
      <c:valAx>
        <c:axId val="216161280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216159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/>
              <a:t>Ubicació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675190856161321E-2"/>
          <c:y val="0.11991022949912991"/>
          <c:w val="0.96697478561603223"/>
          <c:h val="0.77142319124882863"/>
        </c:manualLayout>
      </c:layout>
      <c:bar3DChart>
        <c:barDir val="col"/>
        <c:grouping val="clustered"/>
        <c:varyColors val="0"/>
        <c:ser>
          <c:idx val="6"/>
          <c:order val="0"/>
          <c:tx>
            <c:strRef>
              <c:f>Gràfics!$J$296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669811065192591E-2"/>
                  <c:y val="-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Gràfics!$J$297</c:f>
              <c:numCache>
                <c:formatCode>General</c:formatCode>
                <c:ptCount val="1"/>
                <c:pt idx="0">
                  <c:v>0.8110236220472441</c:v>
                </c:pt>
              </c:numCache>
            </c:numRef>
          </c:val>
        </c:ser>
        <c:ser>
          <c:idx val="5"/>
          <c:order val="1"/>
          <c:tx>
            <c:strRef>
              <c:f>Gràfics!$K$296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520440095395478E-2"/>
                  <c:y val="-3.0769230769230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 algn="ctr">
                  <a:defRPr lang="es-ES"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Gràfics!$K$297</c:f>
              <c:numCache>
                <c:formatCode>General</c:formatCode>
                <c:ptCount val="1"/>
                <c:pt idx="0">
                  <c:v>3.9932508436445448E-2</c:v>
                </c:pt>
              </c:numCache>
            </c:numRef>
          </c:val>
        </c:ser>
        <c:ser>
          <c:idx val="4"/>
          <c:order val="2"/>
          <c:tx>
            <c:strRef>
              <c:f>Gràfics!$L$296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705974658194595E-2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 algn="ctr">
                  <a:defRPr lang="es-ES"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Gràfics!$L$297</c:f>
              <c:numCache>
                <c:formatCode>General</c:formatCode>
                <c:ptCount val="1"/>
                <c:pt idx="0">
                  <c:v>2.6996625421822271E-2</c:v>
                </c:pt>
              </c:numCache>
            </c:numRef>
          </c:val>
        </c:ser>
        <c:ser>
          <c:idx val="3"/>
          <c:order val="3"/>
          <c:tx>
            <c:strRef>
              <c:f>Gràfics!$M$296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5927672813995885E-2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Gràfics!$M$297</c:f>
              <c:numCache>
                <c:formatCode>General</c:formatCode>
                <c:ptCount val="1"/>
                <c:pt idx="0">
                  <c:v>2.8683914510686165E-2</c:v>
                </c:pt>
              </c:numCache>
            </c:numRef>
          </c:val>
        </c:ser>
        <c:ser>
          <c:idx val="2"/>
          <c:order val="4"/>
          <c:tx>
            <c:strRef>
              <c:f>Gràfics!$N$296</c:f>
              <c:strCache>
                <c:ptCount val="1"/>
                <c:pt idx="0">
                  <c:v>Resta
CCAA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160215833762245E-2"/>
                  <c:y val="-3.95527962850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3.174568369317325E-4"/>
                  <c:y val="-1.98580907723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Gràfics!$N$297</c:f>
              <c:numCache>
                <c:formatCode>General</c:formatCode>
                <c:ptCount val="1"/>
                <c:pt idx="0">
                  <c:v>6.2429696287964007E-2</c:v>
                </c:pt>
              </c:numCache>
            </c:numRef>
          </c:val>
        </c:ser>
        <c:ser>
          <c:idx val="1"/>
          <c:order val="5"/>
          <c:tx>
            <c:strRef>
              <c:f>Gràfics!$O$296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7077043783793015E-2"/>
                  <c:y val="-4.102564102564103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 algn="ctr">
                    <a:defRPr lang="es-ES"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es-ES" sz="1200" b="1" i="0" u="none" strike="noStrike" kern="1200" baseline="0">
                    <a:solidFill>
                      <a:srgbClr val="9BBB59">
                        <a:lumMod val="50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Gràfics!$O$297</c:f>
              <c:numCache>
                <c:formatCode>General</c:formatCode>
                <c:ptCount val="1"/>
                <c:pt idx="0">
                  <c:v>2.0809898762654669E-2</c:v>
                </c:pt>
              </c:numCache>
            </c:numRef>
          </c:val>
        </c:ser>
        <c:ser>
          <c:idx val="0"/>
          <c:order val="6"/>
          <c:tx>
            <c:strRef>
              <c:f>Gràfics!$P$296</c:f>
              <c:strCache>
                <c:ptCount val="1"/>
                <c:pt idx="0">
                  <c:v>Resta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5484276502393419E-2"/>
                  <c:y val="-4.402624671916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100123051448976E-3"/>
                  <c:y val="-1.7021280397895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611145818508032E-3"/>
                  <c:y val="-5.313562770945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Gràfics!$G$297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Gràfics!$P$297</c:f>
              <c:numCache>
                <c:formatCode>General</c:formatCode>
                <c:ptCount val="1"/>
                <c:pt idx="0">
                  <c:v>1.0123734533183352E-2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6529920"/>
        <c:axId val="216208128"/>
        <c:axId val="0"/>
      </c:bar3DChart>
      <c:catAx>
        <c:axId val="216529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6208128"/>
        <c:crosses val="autoZero"/>
        <c:auto val="1"/>
        <c:lblAlgn val="ctr"/>
        <c:lblOffset val="100"/>
        <c:noMultiLvlLbl val="0"/>
      </c:catAx>
      <c:valAx>
        <c:axId val="216208128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21652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60090927939158"/>
          <c:y val="0.1200967294818486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74364356439117"/>
          <c:y val="0"/>
          <c:w val="0.87525635643560962"/>
          <c:h val="0.95282897769042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Gràfics!$C$319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BC474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CF7D7B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8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Gràfics!$E$318:$M$318</c:f>
              <c:strCache>
                <c:ptCount val="9"/>
                <c:pt idx="0">
                  <c:v>NS/NC</c:v>
                </c:pt>
                <c:pt idx="1">
                  <c:v>Menys 
9.000 €</c:v>
                </c:pt>
                <c:pt idx="2">
                  <c:v>9.000 €
12.000 €</c:v>
                </c:pt>
                <c:pt idx="3">
                  <c:v>12.000 €
15.000 €</c:v>
                </c:pt>
                <c:pt idx="4">
                  <c:v>15.000 €
18.000 €</c:v>
                </c:pt>
                <c:pt idx="5">
                  <c:v>18.000 €
24.000 €</c:v>
                </c:pt>
                <c:pt idx="6">
                  <c:v>24.000 €
30.000 €</c:v>
                </c:pt>
                <c:pt idx="7">
                  <c:v>30.000 €
40.000 €</c:v>
                </c:pt>
                <c:pt idx="8">
                  <c:v>Més de 
40.000 €</c:v>
                </c:pt>
              </c:strCache>
            </c:strRef>
          </c:cat>
          <c:val>
            <c:numRef>
              <c:f>Gràfics!$E$319:$M$319</c:f>
              <c:numCache>
                <c:formatCode>0.00%</c:formatCode>
                <c:ptCount val="9"/>
                <c:pt idx="0">
                  <c:v>4.8368953880764905E-2</c:v>
                </c:pt>
                <c:pt idx="1">
                  <c:v>2.9246344206974129E-2</c:v>
                </c:pt>
                <c:pt idx="2">
                  <c:v>3.2058492688413945E-2</c:v>
                </c:pt>
                <c:pt idx="3">
                  <c:v>4.4994375703037118E-2</c:v>
                </c:pt>
                <c:pt idx="4">
                  <c:v>5.736782902137233E-2</c:v>
                </c:pt>
                <c:pt idx="5">
                  <c:v>0.19966254218222723</c:v>
                </c:pt>
                <c:pt idx="6">
                  <c:v>0.24521934758155231</c:v>
                </c:pt>
                <c:pt idx="7">
                  <c:v>0.24184476940382452</c:v>
                </c:pt>
                <c:pt idx="8">
                  <c:v>0.10123734533183353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16257664"/>
        <c:axId val="216259200"/>
      </c:barChart>
      <c:catAx>
        <c:axId val="21625766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6259200"/>
        <c:crosses val="autoZero"/>
        <c:auto val="1"/>
        <c:lblAlgn val="ctr"/>
        <c:lblOffset val="100"/>
        <c:noMultiLvlLbl val="0"/>
      </c:catAx>
      <c:valAx>
        <c:axId val="216259200"/>
        <c:scaling>
          <c:orientation val="minMax"/>
          <c:max val="0.4"/>
        </c:scaling>
        <c:delete val="1"/>
        <c:axPos val="b"/>
        <c:numFmt formatCode="0%" sourceLinked="0"/>
        <c:majorTickMark val="out"/>
        <c:minorTickMark val="none"/>
        <c:tickLblPos val="none"/>
        <c:crossAx val="2162576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blurRad="50800" dist="38100" algn="l" rotWithShape="0">
        <a:sysClr val="window" lastClr="FFFFFF">
          <a:alpha val="40000"/>
        </a:sysClr>
      </a:outerShdw>
    </a:effectLst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u="sng"/>
            </a:pPr>
            <a:r>
              <a:rPr lang="en-US" sz="1400" u="sng"/>
              <a:t>Titulats</a:t>
            </a:r>
            <a:r>
              <a:rPr lang="en-US" sz="1400" u="sng" baseline="0"/>
              <a:t> que troben feina Abans d'acabar la titulació</a:t>
            </a:r>
            <a:endParaRPr lang="en-US" sz="1400" u="sng"/>
          </a:p>
        </c:rich>
      </c:tx>
      <c:layout>
        <c:manualLayout>
          <c:xMode val="edge"/>
          <c:yMode val="edge"/>
          <c:x val="0.13599521288918331"/>
          <c:y val="3.7037037037037056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5087680518715"/>
          <c:y val="0.23505468295520648"/>
          <c:w val="0.53130268199233566"/>
          <c:h val="0.67832925051035553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4BACC6"/>
              </a:solidFill>
            </c:spPr>
          </c:dPt>
          <c:dPt>
            <c:idx val="2"/>
            <c:invertIfNegative val="0"/>
            <c:bubble3D val="0"/>
            <c:spPr>
              <a:solidFill>
                <a:srgbClr val="B4BE54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comparativa'!$C$35:$E$35</c:f>
              <c:numCache>
                <c:formatCode>0.00%</c:formatCode>
                <c:ptCount val="3"/>
                <c:pt idx="0" formatCode="0%">
                  <c:v>0.51049667178699432</c:v>
                </c:pt>
                <c:pt idx="1">
                  <c:v>0.50419161676646707</c:v>
                </c:pt>
                <c:pt idx="2" formatCode="0.0%">
                  <c:v>0.55961754780652417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-15"/>
        <c:axId val="214248832"/>
        <c:axId val="214254720"/>
      </c:barChart>
      <c:catAx>
        <c:axId val="21424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ES"/>
          </a:p>
        </c:txPr>
        <c:crossAx val="214254720"/>
        <c:crosses val="autoZero"/>
        <c:auto val="1"/>
        <c:lblAlgn val="ctr"/>
        <c:lblOffset val="100"/>
        <c:noMultiLvlLbl val="0"/>
      </c:catAx>
      <c:valAx>
        <c:axId val="214254720"/>
        <c:scaling>
          <c:orientation val="minMax"/>
          <c:max val="0.9"/>
        </c:scaling>
        <c:delete val="1"/>
        <c:axPos val="b"/>
        <c:numFmt formatCode="0%" sourceLinked="0"/>
        <c:majorTickMark val="out"/>
        <c:minorTickMark val="none"/>
        <c:tickLblPos val="none"/>
        <c:crossAx val="214248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78367211955381"/>
          <c:y val="3.211468518938633E-2"/>
          <c:w val="0.75700045713008446"/>
          <c:h val="0.9495340661309643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Gràfics!$B$366</c:f>
              <c:strCache>
                <c:ptCount val="1"/>
                <c:pt idx="0">
                  <c:v>TOTAL UPC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17375D"/>
              </a:solidFill>
            </c:spPr>
          </c:dPt>
          <c:dPt>
            <c:idx val="2"/>
            <c:invertIfNegative val="0"/>
            <c:bubble3D val="0"/>
            <c:spPr>
              <a:solidFill>
                <a:srgbClr val="1F4A7F"/>
              </a:solidFill>
            </c:spPr>
          </c:dPt>
          <c:dPt>
            <c:idx val="3"/>
            <c:invertIfNegative val="0"/>
            <c:bubble3D val="0"/>
            <c:spPr>
              <a:solidFill>
                <a:srgbClr val="2A65AC"/>
              </a:solidFill>
            </c:spPr>
          </c:dPt>
          <c:dPt>
            <c:idx val="4"/>
            <c:invertIfNegative val="0"/>
            <c:bubble3D val="0"/>
            <c:spPr>
              <a:solidFill>
                <a:srgbClr val="4D8AD3"/>
              </a:solidFill>
            </c:spPr>
          </c:dPt>
          <c:dPt>
            <c:idx val="5"/>
            <c:invertIfNegative val="0"/>
            <c:bubble3D val="0"/>
            <c:spPr>
              <a:solidFill>
                <a:srgbClr val="8DB4E3"/>
              </a:solidFill>
            </c:spPr>
          </c:dPt>
          <c:dPt>
            <c:idx val="6"/>
            <c:invertIfNegative val="0"/>
            <c:bubble3D val="0"/>
            <c:spPr>
              <a:solidFill>
                <a:srgbClr val="B8D0EE"/>
              </a:solidFill>
            </c:spPr>
          </c:dPt>
          <c:dPt>
            <c:idx val="7"/>
            <c:invertIfNegative val="0"/>
            <c:bubble3D val="0"/>
            <c:spPr>
              <a:solidFill>
                <a:srgbClr val="ECF2FA"/>
              </a:solidFill>
            </c:spPr>
          </c:dPt>
          <c:dLbls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Gràfics!$C$365:$K$365</c:f>
              <c:strCache>
                <c:ptCount val="9"/>
                <c:pt idx="0">
                  <c:v>Direcció
Gestió</c:v>
                </c:pt>
                <c:pt idx="1">
                  <c:v>Comercial o
logística</c:v>
                </c:pt>
                <c:pt idx="2">
                  <c:v>Docència</c:v>
                </c:pt>
                <c:pt idx="3">
                  <c:v>R+D</c:v>
                </c:pt>
                <c:pt idx="4">
                  <c:v>Assistència
Mèdica/Social</c:v>
                </c:pt>
                <c:pt idx="5">
                  <c:v>Disseny
Art</c:v>
                </c:pt>
                <c:pt idx="6">
                  <c:v>Tècniques</c:v>
                </c:pt>
                <c:pt idx="7">
                  <c:v>Altres qualificades</c:v>
                </c:pt>
                <c:pt idx="8">
                  <c:v>Altres 
no qualificades</c:v>
                </c:pt>
              </c:strCache>
            </c:strRef>
          </c:cat>
          <c:val>
            <c:numRef>
              <c:f>Gràfics!$C$366:$K$366</c:f>
              <c:numCache>
                <c:formatCode>General</c:formatCode>
                <c:ptCount val="9"/>
                <c:pt idx="0">
                  <c:v>0.23099501027296743</c:v>
                </c:pt>
                <c:pt idx="1">
                  <c:v>0.10595832110361021</c:v>
                </c:pt>
                <c:pt idx="2">
                  <c:v>6.0757264455532728E-2</c:v>
                </c:pt>
                <c:pt idx="3">
                  <c:v>0.13061344291165247</c:v>
                </c:pt>
                <c:pt idx="4">
                  <c:v>1.1153507484590548E-2</c:v>
                </c:pt>
                <c:pt idx="5">
                  <c:v>6.3985911358966835E-2</c:v>
                </c:pt>
                <c:pt idx="6">
                  <c:v>0.38714411505723512</c:v>
                </c:pt>
                <c:pt idx="7">
                  <c:v>4.696213677722336E-3</c:v>
                </c:pt>
                <c:pt idx="8">
                  <c:v>4.696213677722336E-3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-15"/>
        <c:axId val="216286720"/>
        <c:axId val="216288256"/>
      </c:barChart>
      <c:catAx>
        <c:axId val="216286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6288256"/>
        <c:crosses val="autoZero"/>
        <c:auto val="1"/>
        <c:lblAlgn val="ctr"/>
        <c:lblOffset val="100"/>
        <c:noMultiLvlLbl val="0"/>
      </c:catAx>
      <c:valAx>
        <c:axId val="216288256"/>
        <c:scaling>
          <c:orientation val="minMax"/>
          <c:max val="0.5"/>
        </c:scaling>
        <c:delete val="1"/>
        <c:axPos val="t"/>
        <c:numFmt formatCode="0%" sourceLinked="0"/>
        <c:majorTickMark val="out"/>
        <c:minorTickMark val="none"/>
        <c:tickLblPos val="none"/>
        <c:crossAx val="21628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30427105536457E-2"/>
          <c:y val="0.13836480728268355"/>
          <c:w val="0.9516492574239902"/>
          <c:h val="0.613134970164902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10253F"/>
              </a:solidFill>
            </c:spPr>
          </c:dPt>
          <c:dPt>
            <c:idx val="2"/>
            <c:invertIfNegative val="0"/>
            <c:bubble3D val="0"/>
            <c:spPr>
              <a:solidFill>
                <a:srgbClr val="10253F"/>
              </a:solidFill>
            </c:spPr>
          </c:dPt>
          <c:dPt>
            <c:idx val="3"/>
            <c:invertIfNegative val="0"/>
            <c:bubble3D val="0"/>
            <c:spPr>
              <a:solidFill>
                <a:srgbClr val="10253F"/>
              </a:solidFill>
            </c:spPr>
          </c:dPt>
          <c:dPt>
            <c:idx val="4"/>
            <c:invertIfNegative val="0"/>
            <c:bubble3D val="0"/>
            <c:spPr>
              <a:solidFill>
                <a:srgbClr val="17375D"/>
              </a:solidFill>
            </c:spPr>
          </c:dPt>
          <c:dPt>
            <c:idx val="5"/>
            <c:invertIfNegative val="0"/>
            <c:bubble3D val="0"/>
            <c:spPr>
              <a:solidFill>
                <a:srgbClr val="17375D"/>
              </a:solidFill>
            </c:spPr>
          </c:dPt>
          <c:dPt>
            <c:idx val="6"/>
            <c:invertIfNegative val="0"/>
            <c:bubble3D val="0"/>
            <c:spPr>
              <a:solidFill>
                <a:srgbClr val="17375D"/>
              </a:solidFill>
            </c:spPr>
          </c:dPt>
          <c:dPt>
            <c:idx val="7"/>
            <c:invertIfNegative val="0"/>
            <c:bubble3D val="0"/>
            <c:spPr>
              <a:solidFill>
                <a:srgbClr val="1F4A7F"/>
              </a:solidFill>
            </c:spPr>
          </c:dPt>
          <c:dPt>
            <c:idx val="8"/>
            <c:invertIfNegative val="0"/>
            <c:bubble3D val="0"/>
            <c:spPr>
              <a:solidFill>
                <a:srgbClr val="1F4A7F"/>
              </a:solidFill>
            </c:spPr>
          </c:dPt>
          <c:dPt>
            <c:idx val="9"/>
            <c:invertIfNegative val="0"/>
            <c:bubble3D val="0"/>
            <c:spPr>
              <a:solidFill>
                <a:srgbClr val="1F4A7F"/>
              </a:solidFill>
            </c:spPr>
          </c:dPt>
          <c:dPt>
            <c:idx val="10"/>
            <c:invertIfNegative val="0"/>
            <c:bubble3D val="0"/>
            <c:spPr>
              <a:solidFill>
                <a:srgbClr val="2A65AC"/>
              </a:solidFill>
            </c:spPr>
          </c:dPt>
          <c:dPt>
            <c:idx val="11"/>
            <c:invertIfNegative val="0"/>
            <c:bubble3D val="0"/>
            <c:spPr>
              <a:solidFill>
                <a:srgbClr val="2A65AC"/>
              </a:solidFill>
            </c:spPr>
          </c:dPt>
          <c:dPt>
            <c:idx val="12"/>
            <c:invertIfNegative val="0"/>
            <c:bubble3D val="0"/>
            <c:spPr>
              <a:solidFill>
                <a:srgbClr val="2A65AC"/>
              </a:solidFill>
            </c:spPr>
          </c:dPt>
          <c:dPt>
            <c:idx val="13"/>
            <c:invertIfNegative val="0"/>
            <c:bubble3D val="0"/>
            <c:spPr>
              <a:solidFill>
                <a:srgbClr val="2A65AC"/>
              </a:solidFill>
            </c:spPr>
          </c:dPt>
          <c:dPt>
            <c:idx val="14"/>
            <c:invertIfNegative val="0"/>
            <c:bubble3D val="0"/>
            <c:spPr>
              <a:solidFill>
                <a:srgbClr val="4D8AD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4D8AD3"/>
              </a:solidFill>
            </c:spPr>
          </c:dPt>
          <c:dPt>
            <c:idx val="16"/>
            <c:invertIfNegative val="0"/>
            <c:bubble3D val="0"/>
            <c:spPr>
              <a:solidFill>
                <a:srgbClr val="4D8AD3"/>
              </a:solidFill>
            </c:spPr>
          </c:dPt>
          <c:dPt>
            <c:idx val="17"/>
            <c:invertIfNegative val="0"/>
            <c:bubble3D val="0"/>
            <c:spPr>
              <a:solidFill>
                <a:srgbClr val="9BC7FF"/>
              </a:solidFill>
            </c:spPr>
          </c:dPt>
          <c:dPt>
            <c:idx val="18"/>
            <c:invertIfNegative val="0"/>
            <c:bubble3D val="0"/>
            <c:spPr>
              <a:solidFill>
                <a:srgbClr val="9BC7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9BC7FF"/>
              </a:solidFill>
            </c:spPr>
          </c:dPt>
          <c:dPt>
            <c:idx val="20"/>
            <c:invertIfNegative val="0"/>
            <c:bubble3D val="0"/>
            <c:spPr>
              <a:solidFill>
                <a:srgbClr val="9BC7FF"/>
              </a:solidFill>
            </c:spPr>
          </c:dPt>
          <c:dLbls>
            <c:dLbl>
              <c:idx val="19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5.0314475375521309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Gràfics!$E$396:$AE$396</c:f>
              <c:strCache>
                <c:ptCount val="27"/>
                <c:pt idx="0">
                  <c:v>Cons-
trucció</c:v>
                </c:pt>
                <c:pt idx="1">
                  <c:v>Tecnol.
comunic</c:v>
                </c:pt>
                <c:pt idx="2">
                  <c:v>Serveis
a empres.</c:v>
                </c:pt>
                <c:pt idx="3">
                  <c:v>Educ.
investig</c:v>
                </c:pt>
                <c:pt idx="4">
                  <c:v>Metal·
lúrgia</c:v>
                </c:pt>
                <c:pt idx="5">
                  <c:v>Trans-
port</c:v>
                </c:pt>
                <c:pt idx="6">
                  <c:v>Sanitat
assist.</c:v>
                </c:pt>
                <c:pt idx="7">
                  <c:v>Electri-
citat</c:v>
                </c:pt>
                <c:pt idx="8">
                  <c:v>Mater.
Transp.</c:v>
                </c:pt>
                <c:pt idx="9">
                  <c:v>Comerç</c:v>
                </c:pt>
                <c:pt idx="10">
                  <c:v>Adm.
pública</c:v>
                </c:pt>
                <c:pt idx="11">
                  <c:v>Instit.
financ.</c:v>
                </c:pt>
                <c:pt idx="12">
                  <c:v>Industr.
Química</c:v>
                </c:pt>
                <c:pt idx="13">
                  <c:v>Industr. Farmac.</c:v>
                </c:pt>
                <c:pt idx="14">
                  <c:v>Prod. 
Aliment</c:v>
                </c:pt>
                <c:pt idx="15">
                  <c:v>Agri-
cultura</c:v>
                </c:pt>
                <c:pt idx="16">
                  <c:v>Mitjans
comunic</c:v>
                </c:pt>
                <c:pt idx="17">
                  <c:v>Altres</c:v>
                </c:pt>
                <c:pt idx="18">
                  <c:v>Textil, cuir ...</c:v>
                </c:pt>
                <c:pt idx="19">
                  <c:v>Restau-
rants</c:v>
                </c:pt>
                <c:pt idx="20">
                  <c:v>Comb.
sòlids</c:v>
                </c:pt>
                <c:pt idx="21">
                  <c:v>Cautxú</c:v>
                </c:pt>
                <c:pt idx="22">
                  <c:v>Extrac.
mineral</c:v>
                </c:pt>
                <c:pt idx="23">
                  <c:v>Fusta</c:v>
                </c:pt>
                <c:pt idx="24">
                  <c:v>NS/NC</c:v>
                </c:pt>
                <c:pt idx="25">
                  <c:v>Paper</c:v>
                </c:pt>
                <c:pt idx="26">
                  <c:v>Pesca</c:v>
                </c:pt>
              </c:strCache>
            </c:strRef>
          </c:cat>
          <c:val>
            <c:numRef>
              <c:f>Gràfics!$E$397:$AE$397</c:f>
              <c:numCache>
                <c:formatCode>General</c:formatCode>
                <c:ptCount val="27"/>
                <c:pt idx="0">
                  <c:v>0.20416197975253092</c:v>
                </c:pt>
                <c:pt idx="1">
                  <c:v>0.13667041619797526</c:v>
                </c:pt>
                <c:pt idx="2">
                  <c:v>0.1203599550056243</c:v>
                </c:pt>
                <c:pt idx="3">
                  <c:v>0.10067491563554555</c:v>
                </c:pt>
                <c:pt idx="4">
                  <c:v>6.8053993250843645E-2</c:v>
                </c:pt>
                <c:pt idx="5">
                  <c:v>4.8931383577052866E-2</c:v>
                </c:pt>
                <c:pt idx="6">
                  <c:v>4.5556805399325086E-2</c:v>
                </c:pt>
                <c:pt idx="7">
                  <c:v>4.4431946006749157E-2</c:v>
                </c:pt>
                <c:pt idx="8">
                  <c:v>4.2182227221597299E-2</c:v>
                </c:pt>
                <c:pt idx="9">
                  <c:v>4.2182227221597299E-2</c:v>
                </c:pt>
                <c:pt idx="10">
                  <c:v>3.6557930258717661E-2</c:v>
                </c:pt>
                <c:pt idx="11">
                  <c:v>2.4746906636670417E-2</c:v>
                </c:pt>
                <c:pt idx="12">
                  <c:v>1.5185601799775027E-2</c:v>
                </c:pt>
                <c:pt idx="13">
                  <c:v>1.3498312710911136E-2</c:v>
                </c:pt>
                <c:pt idx="14">
                  <c:v>1.3498312710911136E-2</c:v>
                </c:pt>
                <c:pt idx="15">
                  <c:v>6.7491563554555678E-3</c:v>
                </c:pt>
                <c:pt idx="16">
                  <c:v>6.7491563554555678E-3</c:v>
                </c:pt>
                <c:pt idx="17">
                  <c:v>6.7491563554555678E-3</c:v>
                </c:pt>
                <c:pt idx="18">
                  <c:v>5.6242969628796397E-3</c:v>
                </c:pt>
                <c:pt idx="19">
                  <c:v>3.937007874015748E-3</c:v>
                </c:pt>
                <c:pt idx="20">
                  <c:v>3.3745781777277839E-3</c:v>
                </c:pt>
                <c:pt idx="21">
                  <c:v>3.3745781777277839E-3</c:v>
                </c:pt>
                <c:pt idx="22">
                  <c:v>2.8121484814398199E-3</c:v>
                </c:pt>
                <c:pt idx="23">
                  <c:v>1.687289088863892E-3</c:v>
                </c:pt>
                <c:pt idx="24">
                  <c:v>1.1248593925759281E-3</c:v>
                </c:pt>
                <c:pt idx="25">
                  <c:v>1.1248593925759281E-3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"/>
        <c:axId val="216423040"/>
        <c:axId val="216428928"/>
      </c:barChart>
      <c:catAx>
        <c:axId val="2164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ES"/>
          </a:p>
        </c:txPr>
        <c:crossAx val="216428928"/>
        <c:crosses val="autoZero"/>
        <c:auto val="1"/>
        <c:lblAlgn val="ctr"/>
        <c:lblOffset val="100"/>
        <c:noMultiLvlLbl val="0"/>
      </c:catAx>
      <c:valAx>
        <c:axId val="216428928"/>
        <c:scaling>
          <c:orientation val="minMax"/>
          <c:max val="0.2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216423040"/>
        <c:crosses val="autoZero"/>
        <c:crossBetween val="between"/>
        <c:majorUnit val="0.1"/>
        <c:minorUnit val="2.0000000000000007E-2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(Gens Important  1 - 7 Molt important)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881546266681202E-2"/>
          <c:y val="0.16352225874678286"/>
          <c:w val="0.95428197437547702"/>
          <c:h val="0.70426623856483961"/>
        </c:manualLayout>
      </c:layout>
      <c:lineChart>
        <c:grouping val="standard"/>
        <c:varyColors val="0"/>
        <c:ser>
          <c:idx val="0"/>
          <c:order val="0"/>
          <c:tx>
            <c:strRef>
              <c:f>Gràfics!$C$424</c:f>
              <c:strCache>
                <c:ptCount val="1"/>
                <c:pt idx="0">
                  <c:v>TOTAL UPC</c:v>
                </c:pt>
              </c:strCache>
            </c:strRef>
          </c:tx>
          <c:spPr>
            <a:ln w="38100">
              <a:solidFill>
                <a:srgbClr val="1F4A7F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8176508338816748E-2"/>
                  <c:y val="3.392238106159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078606768813283E-2"/>
                  <c:y val="3.3922381061590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Gràfics!$D$423:$K$423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en idiomes</c:v>
                </c:pt>
                <c:pt idx="3">
                  <c:v>Formació en informàtica</c:v>
                </c:pt>
                <c:pt idx="4">
                  <c:v>Habilitats socials i personalitat</c:v>
                </c:pt>
                <c:pt idx="5">
                  <c:v>Capacitat de gestió i planificació</c:v>
                </c:pt>
                <c:pt idx="6">
                  <c:v>Capacitat de treballar en grup</c:v>
                </c:pt>
                <c:pt idx="7">
                  <c:v>Formació global universitat</c:v>
                </c:pt>
              </c:strCache>
            </c:strRef>
          </c:cat>
          <c:val>
            <c:numRef>
              <c:f>Gràfics!$D$424:$K$424</c:f>
              <c:numCache>
                <c:formatCode>0.00</c:formatCode>
                <c:ptCount val="8"/>
                <c:pt idx="0">
                  <c:v>4.677378701953371</c:v>
                </c:pt>
                <c:pt idx="1">
                  <c:v>4.677378701953371</c:v>
                </c:pt>
                <c:pt idx="2">
                  <c:v>3.7082545683679897</c:v>
                </c:pt>
                <c:pt idx="3">
                  <c:v>4.9804662885948332</c:v>
                </c:pt>
                <c:pt idx="4">
                  <c:v>5.3746051800379027</c:v>
                </c:pt>
                <c:pt idx="5">
                  <c:v>4.9879974731522427</c:v>
                </c:pt>
                <c:pt idx="6">
                  <c:v>5.2454258675078869</c:v>
                </c:pt>
                <c:pt idx="7">
                  <c:v>4.9842370744010092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Gràfics!$C$425</c:f>
              <c:strCache>
                <c:ptCount val="1"/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0639328765524759E-2"/>
                  <c:y val="3.080253803226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Gràfics!$D$423:$K$423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en idiomes</c:v>
                </c:pt>
                <c:pt idx="3">
                  <c:v>Formació en informàtica</c:v>
                </c:pt>
                <c:pt idx="4">
                  <c:v>Habilitats socials i personalitat</c:v>
                </c:pt>
                <c:pt idx="5">
                  <c:v>Capacitat de gestió i planificació</c:v>
                </c:pt>
                <c:pt idx="6">
                  <c:v>Capacitat de treballar en grup</c:v>
                </c:pt>
                <c:pt idx="7">
                  <c:v>Formació global universitat</c:v>
                </c:pt>
              </c:strCache>
            </c:strRef>
          </c:cat>
          <c:val>
            <c:numRef>
              <c:f>Gràfics!$D$425:$K$425</c:f>
              <c:numCache>
                <c:formatCode>0.00</c:formatCode>
                <c:ptCount val="8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40288"/>
        <c:axId val="216541824"/>
      </c:lineChart>
      <c:catAx>
        <c:axId val="21654028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6541824"/>
        <c:crosses val="autoZero"/>
        <c:auto val="1"/>
        <c:lblAlgn val="ctr"/>
        <c:lblOffset val="100"/>
        <c:noMultiLvlLbl val="0"/>
      </c:catAx>
      <c:valAx>
        <c:axId val="216541824"/>
        <c:scaling>
          <c:orientation val="minMax"/>
          <c:max val="6"/>
          <c:min val="2"/>
        </c:scaling>
        <c:delete val="1"/>
        <c:axPos val="l"/>
        <c:numFmt formatCode="0" sourceLinked="0"/>
        <c:majorTickMark val="out"/>
        <c:minorTickMark val="none"/>
        <c:tickLblPos val="none"/>
        <c:crossAx val="216540288"/>
        <c:crosses val="autoZero"/>
        <c:crossBetween val="between"/>
        <c:majorUnit val="1"/>
      </c:val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Gràfics!$H$483:$I$483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Gràfics!$H$484:$I$484</c:f>
              <c:numCache>
                <c:formatCode>0.00</c:formatCode>
                <c:ptCount val="2"/>
                <c:pt idx="0">
                  <c:v>0.91211031091569339</c:v>
                </c:pt>
                <c:pt idx="1">
                  <c:v>0.23187169133402552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16563712"/>
        <c:axId val="216565248"/>
      </c:barChart>
      <c:catAx>
        <c:axId val="216563712"/>
        <c:scaling>
          <c:orientation val="maxMin"/>
        </c:scaling>
        <c:delete val="0"/>
        <c:axPos val="l"/>
        <c:numFmt formatCode="0.00" sourceLinked="1"/>
        <c:majorTickMark val="none"/>
        <c:minorTickMark val="out"/>
        <c:tickLblPos val="low"/>
        <c:txPr>
          <a:bodyPr rot="0" vert="horz"/>
          <a:lstStyle/>
          <a:p>
            <a:pPr>
              <a:defRPr sz="1400" b="1"/>
            </a:pPr>
            <a:endParaRPr lang="es-ES"/>
          </a:p>
        </c:txPr>
        <c:crossAx val="216565248"/>
        <c:crosses val="autoZero"/>
        <c:auto val="1"/>
        <c:lblAlgn val="ctr"/>
        <c:lblOffset val="0"/>
        <c:noMultiLvlLbl val="0"/>
      </c:catAx>
      <c:valAx>
        <c:axId val="2165652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16563712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Diferència entre nivell i utilitat</a:t>
            </a:r>
            <a:r>
              <a:rPr lang="es-ES" baseline="0"/>
              <a:t> de les competències Instrumentals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Gràfics!$J$507:$L$507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Gràfics!$J$508:$L$508</c:f>
              <c:numCache>
                <c:formatCode>0.00</c:formatCode>
                <c:ptCount val="3"/>
                <c:pt idx="0">
                  <c:v>-1.1287964004499438</c:v>
                </c:pt>
                <c:pt idx="1">
                  <c:v>-2.4403203822495163</c:v>
                </c:pt>
                <c:pt idx="2">
                  <c:v>-0.6584130557118737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"/>
        <c:axId val="216602112"/>
        <c:axId val="216603648"/>
      </c:barChart>
      <c:catAx>
        <c:axId val="216602112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400" b="1"/>
            </a:pPr>
            <a:endParaRPr lang="es-ES"/>
          </a:p>
        </c:txPr>
        <c:crossAx val="216603648"/>
        <c:crosses val="autoZero"/>
        <c:auto val="1"/>
        <c:lblAlgn val="ctr"/>
        <c:lblOffset val="0"/>
        <c:noMultiLvlLbl val="0"/>
      </c:catAx>
      <c:valAx>
        <c:axId val="2166036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16602112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Diferència</a:t>
            </a:r>
            <a:r>
              <a:rPr lang="es-ES" baseline="0"/>
              <a:t> entre nivell i utilitat de les competències Interpersonals i de Gestió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Gràfics!$J$533:$L$533</c:f>
              <c:strCache>
                <c:ptCount val="3"/>
                <c:pt idx="0">
                  <c:v>Gestió </c:v>
                </c:pt>
                <c:pt idx="1">
                  <c:v>Comunicació oral </c:v>
                </c:pt>
                <c:pt idx="2">
                  <c:v>Comunicació escrita</c:v>
                </c:pt>
              </c:strCache>
            </c:strRef>
          </c:cat>
          <c:val>
            <c:numRef>
              <c:f>Gràfics!$J$534:$L$534</c:f>
              <c:numCache>
                <c:formatCode>0.00</c:formatCode>
                <c:ptCount val="3"/>
                <c:pt idx="0">
                  <c:v>-1.3322189310864045</c:v>
                </c:pt>
                <c:pt idx="1">
                  <c:v>-1.2830306383339676</c:v>
                </c:pt>
                <c:pt idx="2">
                  <c:v>-1.0421499436937292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"/>
        <c:axId val="216632320"/>
        <c:axId val="216666880"/>
      </c:barChart>
      <c:catAx>
        <c:axId val="216632320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200" b="1"/>
            </a:pPr>
            <a:endParaRPr lang="es-ES"/>
          </a:p>
        </c:txPr>
        <c:crossAx val="216666880"/>
        <c:crosses val="autoZero"/>
        <c:auto val="1"/>
        <c:lblAlgn val="ctr"/>
        <c:lblOffset val="0"/>
        <c:noMultiLvlLbl val="0"/>
      </c:catAx>
      <c:valAx>
        <c:axId val="21666688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16632320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Diferències entre nivell i utilitat de les</a:t>
            </a:r>
            <a:r>
              <a:rPr lang="es-ES" baseline="0"/>
              <a:t> competències Cognitives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Gràfics!$J$553:$L$553</c:f>
              <c:strCache>
                <c:ptCount val="3"/>
                <c:pt idx="0">
                  <c:v>Treball den equip</c:v>
                </c:pt>
                <c:pt idx="1">
                  <c:v>Lideratge</c:v>
                </c:pt>
                <c:pt idx="2">
                  <c:v>Resolució de problemes</c:v>
                </c:pt>
              </c:strCache>
            </c:strRef>
          </c:cat>
          <c:val>
            <c:numRef>
              <c:f>Gràfics!$J$554:$L$554</c:f>
              <c:numCache>
                <c:formatCode>0.00</c:formatCode>
                <c:ptCount val="3"/>
                <c:pt idx="0">
                  <c:v>-0.66872890888638903</c:v>
                </c:pt>
                <c:pt idx="1">
                  <c:v>-1.6041777568226636</c:v>
                </c:pt>
                <c:pt idx="2">
                  <c:v>-0.88733925151248005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"/>
        <c:axId val="216699648"/>
        <c:axId val="216701184"/>
      </c:barChart>
      <c:catAx>
        <c:axId val="216699648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400" b="1"/>
            </a:pPr>
            <a:endParaRPr lang="es-ES"/>
          </a:p>
        </c:txPr>
        <c:crossAx val="216701184"/>
        <c:crosses val="autoZero"/>
        <c:auto val="1"/>
        <c:lblAlgn val="ctr"/>
        <c:lblOffset val="1000"/>
        <c:noMultiLvlLbl val="0"/>
      </c:catAx>
      <c:valAx>
        <c:axId val="2167011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16699648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317538797820216E-3"/>
          <c:y val="0.11528889415131997"/>
          <c:w val="0.90518351079680148"/>
          <c:h val="0.71376831559891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Gràfics!$C$755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sz="105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Gràfics!$D$754:$E$754</c:f>
              <c:strCache>
                <c:ptCount val="2"/>
                <c:pt idx="0">
                  <c:v>Repetiries la carrera?</c:v>
                </c:pt>
                <c:pt idx="1">
                  <c:v>Repetiries d'universitat?</c:v>
                </c:pt>
              </c:strCache>
            </c:strRef>
          </c:cat>
          <c:val>
            <c:numRef>
              <c:f>Gràfics!$D$755:$E$755</c:f>
              <c:numCache>
                <c:formatCode>0.00%</c:formatCode>
                <c:ptCount val="2"/>
                <c:pt idx="0">
                  <c:v>0.31210191082802546</c:v>
                </c:pt>
                <c:pt idx="1">
                  <c:v>0.1136890951276102</c:v>
                </c:pt>
              </c:numCache>
            </c:numRef>
          </c:val>
        </c:ser>
        <c:ser>
          <c:idx val="1"/>
          <c:order val="1"/>
          <c:tx>
            <c:strRef>
              <c:f>Gràfics!$C$756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Gràfics!$D$754:$E$754</c:f>
              <c:strCache>
                <c:ptCount val="2"/>
                <c:pt idx="0">
                  <c:v>Repetiries la carrera?</c:v>
                </c:pt>
                <c:pt idx="1">
                  <c:v>Repetiries d'universitat?</c:v>
                </c:pt>
              </c:strCache>
            </c:strRef>
          </c:cat>
          <c:val>
            <c:numRef>
              <c:f>Gràfics!$D$756:$E$756</c:f>
              <c:numCache>
                <c:formatCode>0.00%</c:formatCode>
                <c:ptCount val="2"/>
                <c:pt idx="0">
                  <c:v>0.68789808917197448</c:v>
                </c:pt>
                <c:pt idx="1">
                  <c:v>0.88631090487238984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16752896"/>
        <c:axId val="216754432"/>
      </c:barChart>
      <c:catAx>
        <c:axId val="21675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+mn-lt"/>
              </a:defRPr>
            </a:pPr>
            <a:endParaRPr lang="es-ES"/>
          </a:p>
        </c:txPr>
        <c:crossAx val="216754432"/>
        <c:crosses val="autoZero"/>
        <c:auto val="1"/>
        <c:lblAlgn val="ctr"/>
        <c:lblOffset val="100"/>
        <c:noMultiLvlLbl val="0"/>
      </c:catAx>
      <c:valAx>
        <c:axId val="216754432"/>
        <c:scaling>
          <c:orientation val="minMax"/>
          <c:max val="1"/>
        </c:scaling>
        <c:delete val="1"/>
        <c:axPos val="l"/>
        <c:numFmt formatCode="0%" sourceLinked="0"/>
        <c:majorTickMark val="none"/>
        <c:minorTickMark val="none"/>
        <c:tickLblPos val="none"/>
        <c:crossAx val="2167528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885475019784256"/>
          <c:y val="1.5609754498712864E-2"/>
          <c:w val="0.11029834633703886"/>
          <c:h val="5.9626599103606931E-2"/>
        </c:manualLayout>
      </c:layout>
      <c:overlay val="0"/>
      <c:txPr>
        <a:bodyPr/>
        <a:lstStyle/>
        <a:p>
          <a:pPr>
            <a:defRPr sz="1400" b="1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044742218792058E-2"/>
          <c:y val="9.2773952399640106E-2"/>
          <c:w val="0.9883853579834756"/>
          <c:h val="0.71479600999513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Gràfics!$C$785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1F497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bubble3D val="0"/>
            <c:spPr>
              <a:solidFill>
                <a:srgbClr val="4F81B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 algn="ctr">
                    <a:defRPr lang="es-ES" sz="1200" b="1" i="0" u="none" strike="noStrike" kern="1200" baseline="0"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 algn="ctr">
                    <a:defRPr lang="es-ES" sz="1200" b="1" i="0" u="none" strike="noStrike" kern="1200" baseline="0"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spPr/>
              <c:txPr>
                <a:bodyPr/>
                <a:lstStyle/>
                <a:p>
                  <a:pPr algn="ctr">
                    <a:defRPr lang="es-ES" sz="1200" b="1" i="0" u="none" strike="noStrike" kern="1200" baseline="0"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/>
              <c:txPr>
                <a:bodyPr/>
                <a:lstStyle/>
                <a:p>
                  <a:pPr algn="ctr">
                    <a:defRPr lang="es-ES" sz="1200" b="1" i="0" u="none" strike="noStrike" kern="1200" baseline="0"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 algn="ctr">
                    <a:defRPr lang="es-ES" sz="1200" b="1" i="0" u="none" strike="noStrike" kern="1200" baseline="0"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Gràfics!$D$782:$K$784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 / 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Continuació dels estudis</c:v>
                  </c:pt>
                  <c:pt idx="6">
                    <c:v>Mateixa universitat ?</c:v>
                  </c:pt>
                </c:lvl>
              </c:multiLvlStrCache>
            </c:multiLvlStrRef>
          </c:cat>
          <c:val>
            <c:numRef>
              <c:f>Gràfics!$D$785:$K$785</c:f>
              <c:numCache>
                <c:formatCode>0.00%</c:formatCode>
                <c:ptCount val="8"/>
                <c:pt idx="0">
                  <c:v>0.30388294879009564</c:v>
                </c:pt>
                <c:pt idx="1">
                  <c:v>0.14687675858187957</c:v>
                </c:pt>
                <c:pt idx="2">
                  <c:v>0.13674732695554306</c:v>
                </c:pt>
                <c:pt idx="3">
                  <c:v>0.29712999437253801</c:v>
                </c:pt>
                <c:pt idx="4">
                  <c:v>4.5019696117051207E-2</c:v>
                </c:pt>
                <c:pt idx="5">
                  <c:v>7.0343275182892517E-2</c:v>
                </c:pt>
                <c:pt idx="6">
                  <c:v>0.61538461538461542</c:v>
                </c:pt>
                <c:pt idx="7">
                  <c:v>0.38461538461538464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6810240"/>
        <c:axId val="216811776"/>
      </c:barChart>
      <c:catAx>
        <c:axId val="21681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es-ES"/>
          </a:p>
        </c:txPr>
        <c:crossAx val="216811776"/>
        <c:crosses val="autoZero"/>
        <c:auto val="1"/>
        <c:lblAlgn val="ctr"/>
        <c:lblOffset val="100"/>
        <c:noMultiLvlLbl val="0"/>
      </c:catAx>
      <c:valAx>
        <c:axId val="216811776"/>
        <c:scaling>
          <c:orientation val="minMax"/>
          <c:max val="0.60000000000000064"/>
        </c:scaling>
        <c:delete val="1"/>
        <c:axPos val="l"/>
        <c:numFmt formatCode="0%" sourceLinked="0"/>
        <c:majorTickMark val="out"/>
        <c:minorTickMark val="none"/>
        <c:tickLblPos val="none"/>
        <c:crossAx val="21681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>
                <a:latin typeface="+mn-lt"/>
              </a:defRPr>
            </a:pPr>
            <a:r>
              <a:rPr lang="es-ES" sz="2400">
                <a:latin typeface="+mn-lt"/>
              </a:rPr>
              <a:t>Experiència</a:t>
            </a:r>
            <a:r>
              <a:rPr lang="es-ES" sz="2400" baseline="0">
                <a:latin typeface="+mn-lt"/>
              </a:rPr>
              <a:t> de mobilitat</a:t>
            </a:r>
          </a:p>
        </c:rich>
      </c:tx>
      <c:layout>
        <c:manualLayout>
          <c:xMode val="edge"/>
          <c:yMode val="edge"/>
          <c:x val="0.37230407489386697"/>
          <c:y val="5.57402925308008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6435913252778888E-2"/>
          <c:y val="7.6000356632393391E-3"/>
          <c:w val="0.95055205196124515"/>
          <c:h val="0.8040347454462442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2288786482335101E-3"/>
                  <c:y val="0.15525470696612748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327569355424759E-3"/>
                  <c:y val="8.630994837150346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288786482334859E-3"/>
                  <c:y val="8.424443495639839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249587480456675E-3"/>
                  <c:y val="6.580766999153693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Gràfics!$E$814:$H$817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SÍ, de quin tipus ha estat?</c:v>
                  </c:pt>
                </c:lvl>
                <c:lvl>
                  <c:pt idx="0">
                    <c:v>Has tingut alguna experiència de mobilitat?</c:v>
                  </c:pt>
                </c:lvl>
              </c:multiLvlStrCache>
            </c:multiLvlStrRef>
          </c:cat>
          <c:val>
            <c:numRef>
              <c:f>Gràfics!$E$818:$H$818</c:f>
              <c:numCache>
                <c:formatCode>0.00%</c:formatCode>
                <c:ptCount val="4"/>
                <c:pt idx="0">
                  <c:v>0.56861642294713166</c:v>
                </c:pt>
                <c:pt idx="1">
                  <c:v>0.15129358830146231</c:v>
                </c:pt>
                <c:pt idx="2">
                  <c:v>0.16254218222722161</c:v>
                </c:pt>
                <c:pt idx="3">
                  <c:v>0.11754780652418448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8"/>
        <c:axId val="216876160"/>
        <c:axId val="216877696"/>
      </c:barChart>
      <c:catAx>
        <c:axId val="21687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es-ES"/>
          </a:p>
        </c:txPr>
        <c:crossAx val="216877696"/>
        <c:crosses val="autoZero"/>
        <c:auto val="1"/>
        <c:lblAlgn val="ctr"/>
        <c:lblOffset val="100"/>
        <c:noMultiLvlLbl val="0"/>
      </c:catAx>
      <c:valAx>
        <c:axId val="216877696"/>
        <c:scaling>
          <c:orientation val="minMax"/>
          <c:max val="0.6000000000000002"/>
        </c:scaling>
        <c:delete val="1"/>
        <c:axPos val="l"/>
        <c:numFmt formatCode="0%" sourceLinked="0"/>
        <c:majorTickMark val="out"/>
        <c:minorTickMark val="none"/>
        <c:tickLblPos val="none"/>
        <c:crossAx val="216876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u="sng"/>
            </a:pPr>
            <a:r>
              <a:rPr lang="es-ES" sz="1800" b="1" i="0" u="sng"/>
              <a:t>Evolució</a:t>
            </a:r>
            <a:r>
              <a:rPr lang="es-ES" sz="1800" b="1" i="0" u="sng" baseline="0"/>
              <a:t> del tipus de contracte </a:t>
            </a:r>
            <a:endParaRPr lang="es-ES" sz="1800" b="1" i="0" u="sng"/>
          </a:p>
        </c:rich>
      </c:tx>
      <c:layout>
        <c:manualLayout>
          <c:xMode val="edge"/>
          <c:yMode val="edge"/>
          <c:x val="2.9184557058572803E-2"/>
          <c:y val="3.1009570994116682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5181048522780857"/>
          <c:y val="0.2824585043812835"/>
          <c:w val="0.74859429750768502"/>
          <c:h val="0.376343372849479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'Taules comparativa'!$G$58</c:f>
              <c:strCache>
                <c:ptCount val="1"/>
                <c:pt idx="0">
                  <c:v>FIX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comparativa'!$H$56:$L$57</c:f>
              <c:multiLvlStrCache>
                <c:ptCount val="5"/>
                <c:lvl>
                  <c:pt idx="0">
                    <c:v>2005</c:v>
                  </c:pt>
                  <c:pt idx="2">
                    <c:v>2008</c:v>
                  </c:pt>
                  <c:pt idx="4">
                    <c:v>2011</c:v>
                  </c:pt>
                </c:lvl>
                <c:lvl>
                  <c:pt idx="0">
                    <c:v>TOTAL UPC</c:v>
                  </c:pt>
                </c:lvl>
              </c:multiLvlStrCache>
            </c:multiLvlStrRef>
          </c:cat>
          <c:val>
            <c:numRef>
              <c:f>'Taules comparativa'!$H$58:$L$58</c:f>
              <c:numCache>
                <c:formatCode>0.00%</c:formatCode>
                <c:ptCount val="5"/>
                <c:pt idx="0" formatCode="0%">
                  <c:v>0.64823348694316441</c:v>
                </c:pt>
                <c:pt idx="2">
                  <c:v>0.68439928272564254</c:v>
                </c:pt>
                <c:pt idx="4">
                  <c:v>0.63442069741282336</c:v>
                </c:pt>
              </c:numCache>
            </c:numRef>
          </c:val>
        </c:ser>
        <c:ser>
          <c:idx val="1"/>
          <c:order val="1"/>
          <c:tx>
            <c:strRef>
              <c:f>'Taules comparativa'!$G$60</c:f>
              <c:strCache>
                <c:ptCount val="1"/>
                <c:pt idx="0">
                  <c:v>TEMPORAL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comparativa'!$H$56:$L$57</c:f>
              <c:multiLvlStrCache>
                <c:ptCount val="5"/>
                <c:lvl>
                  <c:pt idx="0">
                    <c:v>2005</c:v>
                  </c:pt>
                  <c:pt idx="2">
                    <c:v>2008</c:v>
                  </c:pt>
                  <c:pt idx="4">
                    <c:v>2011</c:v>
                  </c:pt>
                </c:lvl>
                <c:lvl>
                  <c:pt idx="0">
                    <c:v>TOTAL UPC</c:v>
                  </c:pt>
                </c:lvl>
              </c:multiLvlStrCache>
            </c:multiLvlStrRef>
          </c:cat>
          <c:val>
            <c:numRef>
              <c:f>'Taules comparativa'!$H$60:$L$60</c:f>
              <c:numCache>
                <c:formatCode>0.00%</c:formatCode>
                <c:ptCount val="5"/>
                <c:pt idx="0" formatCode="0%">
                  <c:v>0.19406041986687148</c:v>
                </c:pt>
                <c:pt idx="2">
                  <c:v>0.16796174536760311</c:v>
                </c:pt>
                <c:pt idx="4">
                  <c:v>0.2283464566929134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5"/>
        <c:axId val="214273408"/>
        <c:axId val="214295680"/>
      </c:barChart>
      <c:catAx>
        <c:axId val="21427340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endParaRPr lang="es-ES"/>
          </a:p>
        </c:txPr>
        <c:crossAx val="214295680"/>
        <c:crosses val="autoZero"/>
        <c:auto val="1"/>
        <c:lblAlgn val="ctr"/>
        <c:lblOffset val="100"/>
        <c:noMultiLvlLbl val="0"/>
      </c:catAx>
      <c:valAx>
        <c:axId val="2142956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1427340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t"/>
      <c:layout>
        <c:manualLayout>
          <c:xMode val="edge"/>
          <c:yMode val="edge"/>
          <c:x val="0.74874410551134685"/>
          <c:y val="0.13133507853403142"/>
          <c:w val="0.20159740642499294"/>
          <c:h val="6.2336823734729534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0788497013175486E-2"/>
          <c:y val="8.5333347667543961E-3"/>
          <c:w val="0.87525635643560962"/>
          <c:h val="0.95282897769042563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BC474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1.45804625725704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Gràfics!$F$850:$I$850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</c:v>
                </c:pt>
              </c:strCache>
            </c:strRef>
          </c:cat>
          <c:val>
            <c:numRef>
              <c:f>Gràfics!$F$851:$I$851</c:f>
              <c:numCache>
                <c:formatCode>0.00%</c:formatCode>
                <c:ptCount val="4"/>
                <c:pt idx="0">
                  <c:v>0.55897149245388489</c:v>
                </c:pt>
                <c:pt idx="1">
                  <c:v>0.3873672442705422</c:v>
                </c:pt>
                <c:pt idx="2">
                  <c:v>1.2297372833985467E-2</c:v>
                </c:pt>
                <c:pt idx="3">
                  <c:v>1.1179429849077697E-3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16912256"/>
        <c:axId val="216913792"/>
      </c:barChart>
      <c:catAx>
        <c:axId val="2169122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 Rounded MT Bold" pitchFamily="34" charset="0"/>
              </a:defRPr>
            </a:pPr>
            <a:endParaRPr lang="es-ES"/>
          </a:p>
        </c:txPr>
        <c:crossAx val="216913792"/>
        <c:crosses val="autoZero"/>
        <c:auto val="1"/>
        <c:lblAlgn val="ctr"/>
        <c:lblOffset val="100"/>
        <c:noMultiLvlLbl val="0"/>
      </c:catAx>
      <c:valAx>
        <c:axId val="216913792"/>
        <c:scaling>
          <c:orientation val="minMax"/>
          <c:max val="0.60000000000000064"/>
        </c:scaling>
        <c:delete val="1"/>
        <c:axPos val="b"/>
        <c:numFmt formatCode="0%" sourceLinked="0"/>
        <c:majorTickMark val="out"/>
        <c:minorTickMark val="none"/>
        <c:tickLblPos val="none"/>
        <c:crossAx val="21691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blurRad="50800" dist="38100" algn="l" rotWithShape="0">
        <a:sysClr val="window" lastClr="FFFFFF">
          <a:alpha val="40000"/>
        </a:sysClr>
      </a:outerShdw>
    </a:effectLst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88446546203688"/>
          <c:y val="2.0017878735338425E-2"/>
          <c:w val="0.70680985007701802"/>
          <c:h val="0.92520473854038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Gràfics!$F$880</c:f>
              <c:strCache>
                <c:ptCount val="1"/>
                <c:pt idx="0">
                  <c:v>Tots 2 tenen estudis primaris/sense estudis 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Gràfics!$C$881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Gràfics!$F$881</c:f>
              <c:numCache>
                <c:formatCode>0.00%</c:formatCode>
                <c:ptCount val="1"/>
                <c:pt idx="0">
                  <c:v>0.33650083845723866</c:v>
                </c:pt>
              </c:numCache>
            </c:numRef>
          </c:val>
        </c:ser>
        <c:ser>
          <c:idx val="0"/>
          <c:order val="1"/>
          <c:tx>
            <c:strRef>
              <c:f>Gràfics!$G$880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 algn="ctr"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Gràfics!$C$881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Gràfics!$G$881</c:f>
              <c:numCache>
                <c:formatCode>0.00%</c:formatCode>
                <c:ptCount val="1"/>
                <c:pt idx="0">
                  <c:v>0.12409167132476244</c:v>
                </c:pt>
              </c:numCache>
            </c:numRef>
          </c:val>
        </c:ser>
        <c:ser>
          <c:idx val="2"/>
          <c:order val="2"/>
          <c:tx>
            <c:strRef>
              <c:f>Gràfics!$H$880</c:f>
              <c:strCache>
                <c:ptCount val="1"/>
                <c:pt idx="0">
                  <c:v>Tots dos tenen estudis mitjans</c:v>
                </c:pt>
              </c:strCache>
            </c:strRef>
          </c:tx>
          <c:spPr>
            <a:solidFill>
              <a:srgbClr val="F8A45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 algn="ctr">
                  <a:defRPr lang="es-E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Gràfics!$C$881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Gràfics!$H$881</c:f>
              <c:numCache>
                <c:formatCode>0.00%</c:formatCode>
                <c:ptCount val="1"/>
                <c:pt idx="0">
                  <c:v>0.17384013415315819</c:v>
                </c:pt>
              </c:numCache>
            </c:numRef>
          </c:val>
        </c:ser>
        <c:ser>
          <c:idx val="3"/>
          <c:order val="3"/>
          <c:tx>
            <c:strRef>
              <c:f>Gràfics!$I$880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 algn="ctr"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Gràfics!$C$881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Gràfics!$I$881</c:f>
              <c:numCache>
                <c:formatCode>0.00%</c:formatCode>
                <c:ptCount val="1"/>
                <c:pt idx="0">
                  <c:v>0.18278367803242035</c:v>
                </c:pt>
              </c:numCache>
            </c:numRef>
          </c:val>
        </c:ser>
        <c:ser>
          <c:idx val="4"/>
          <c:order val="4"/>
          <c:tx>
            <c:strRef>
              <c:f>Gràfics!$J$880</c:f>
              <c:strCache>
                <c:ptCount val="1"/>
                <c:pt idx="0">
                  <c:v>Tots dos tenen estudis superiors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Gràfics!$C$881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Gràfics!$J$881</c:f>
              <c:numCache>
                <c:formatCode>0.00%</c:formatCode>
                <c:ptCount val="1"/>
                <c:pt idx="0">
                  <c:v>0.17719396310788149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17053056"/>
        <c:axId val="217054592"/>
      </c:barChart>
      <c:catAx>
        <c:axId val="217053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7054592"/>
        <c:crosses val="autoZero"/>
        <c:auto val="1"/>
        <c:lblAlgn val="ctr"/>
        <c:lblOffset val="100"/>
        <c:noMultiLvlLbl val="0"/>
      </c:catAx>
      <c:valAx>
        <c:axId val="21705459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705305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3305611563100301E-2"/>
          <c:y val="6.1098438875666364E-2"/>
          <c:w val="0.33998613911488534"/>
          <c:h val="0.90640009187057968"/>
        </c:manualLayout>
      </c:layout>
      <c:overlay val="0"/>
      <c:txPr>
        <a:bodyPr/>
        <a:lstStyle/>
        <a:p>
          <a:pPr>
            <a:defRPr sz="1200" b="1"/>
          </a:pPr>
          <a:endParaRPr lang="es-ES"/>
        </a:p>
      </c:txPr>
    </c:legend>
    <c:plotVisOnly val="1"/>
    <c:dispBlanksAs val="gap"/>
    <c:showDLblsOverMax val="0"/>
  </c:chart>
  <c:spPr>
    <a:effectLst/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Ocupació actual o passada</a:t>
            </a:r>
            <a:r>
              <a:rPr lang="es-ES" baseline="0"/>
              <a:t> del PARE</a:t>
            </a:r>
            <a:endParaRPr lang="es-ES"/>
          </a:p>
        </c:rich>
      </c:tx>
      <c:layout>
        <c:manualLayout>
          <c:xMode val="edge"/>
          <c:yMode val="edge"/>
          <c:x val="0.34503808494935784"/>
          <c:y val="2.1818181818181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7027901579421616E-2"/>
          <c:y val="3.8097137177309517E-2"/>
          <c:w val="0.97740794693988564"/>
          <c:h val="0.72561624192934326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EEECE1">
                  <a:lumMod val="9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4BACC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3.8929442378141392E-3"/>
                  <c:y val="0.220105788666065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905923170855175E-3"/>
                  <c:y val="9.916854214625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1016617428503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929442378141392E-3"/>
                  <c:y val="0.11609975665902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76480792713826E-3"/>
                  <c:y val="0.108843521867834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976480792713826E-3"/>
                  <c:y val="7.25623479118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5159759852902508E-17"/>
                  <c:y val="6.2887368190304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Gràfics!$H$906:$N$909</c:f>
              <c:multiLvlStrCache>
                <c:ptCount val="7"/>
                <c:lvl>
                  <c:pt idx="0">
                    <c:v>Sí</c:v>
                  </c:pt>
                  <c:pt idx="1">
                    <c:v>No</c:v>
                  </c:pt>
                  <c:pt idx="2">
                    <c:v>NS/NC</c:v>
                  </c:pt>
                  <c:pt idx="3">
                    <c:v>Direcció/gestió</c:v>
                  </c:pt>
                  <c:pt idx="4">
                    <c:v>Tècnic superior</c:v>
                  </c:pt>
                  <c:pt idx="5">
                    <c:v>Qualificat</c:v>
                  </c:pt>
                  <c:pt idx="6">
                    <c:v>No qualificat</c:v>
                  </c:pt>
                </c:lvl>
                <c:lvl>
                  <c:pt idx="0">
                    <c:v>La feina requereix nivell universitari</c:v>
                  </c:pt>
                </c:lvl>
                <c:lvl>
                  <c:pt idx="0">
                    <c:v>Compte propi (%)</c:v>
                  </c:pt>
                  <c:pt idx="2">
                    <c:v>Compte aliè (%)</c:v>
                  </c:pt>
                </c:lvl>
                <c:lvl>
                  <c:pt idx="0">
                    <c:v>Ocupació actual o passada del PARE (%)</c:v>
                  </c:pt>
                </c:lvl>
              </c:multiLvlStrCache>
            </c:multiLvlStrRef>
          </c:cat>
          <c:val>
            <c:numRef>
              <c:f>Gràfics!$H$910:$N$910</c:f>
              <c:numCache>
                <c:formatCode>0.00%</c:formatCode>
                <c:ptCount val="7"/>
                <c:pt idx="0">
                  <c:v>0.30669144981412638</c:v>
                </c:pt>
                <c:pt idx="1">
                  <c:v>0.68959107806691455</c:v>
                </c:pt>
                <c:pt idx="2">
                  <c:v>9.8684210526315784E-3</c:v>
                </c:pt>
                <c:pt idx="3">
                  <c:v>0.22944078947368421</c:v>
                </c:pt>
                <c:pt idx="4">
                  <c:v>0.20065789473684212</c:v>
                </c:pt>
                <c:pt idx="5">
                  <c:v>0.35115131578947367</c:v>
                </c:pt>
                <c:pt idx="6">
                  <c:v>0.20888157894736842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7101824"/>
        <c:axId val="217103360"/>
      </c:barChart>
      <c:catAx>
        <c:axId val="21710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7103360"/>
        <c:crosses val="autoZero"/>
        <c:auto val="1"/>
        <c:lblAlgn val="ctr"/>
        <c:lblOffset val="100"/>
        <c:noMultiLvlLbl val="0"/>
      </c:catAx>
      <c:valAx>
        <c:axId val="217103360"/>
        <c:scaling>
          <c:orientation val="minMax"/>
          <c:max val="0.70000000000000062"/>
        </c:scaling>
        <c:delete val="1"/>
        <c:axPos val="l"/>
        <c:numFmt formatCode="0%" sourceLinked="0"/>
        <c:majorTickMark val="none"/>
        <c:minorTickMark val="none"/>
        <c:tickLblPos val="none"/>
        <c:crossAx val="217101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(Gens Important  1 - 7 Molt important)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881546266681202E-2"/>
          <c:y val="0.16352225874678286"/>
          <c:w val="0.95428197437547746"/>
          <c:h val="0.70426623856483961"/>
        </c:manualLayout>
      </c:layout>
      <c:lineChart>
        <c:grouping val="standard"/>
        <c:varyColors val="0"/>
        <c:ser>
          <c:idx val="0"/>
          <c:order val="0"/>
          <c:tx>
            <c:strRef>
              <c:f>Gràfics!$C$453</c:f>
              <c:strCache>
                <c:ptCount val="1"/>
                <c:pt idx="0">
                  <c:v>TOTAL UPC</c:v>
                </c:pt>
              </c:strCache>
            </c:strRef>
          </c:tx>
          <c:spPr>
            <a:ln w="38100">
              <a:solidFill>
                <a:srgbClr val="1F4A7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735852794122206E-2"/>
                  <c:y val="-3.106796116504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836479357844747E-2"/>
                  <c:y val="-1.81229773462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320755838236699E-2"/>
                  <c:y val="2.5889763779527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20755838236645E-2"/>
                  <c:y val="3.955289447138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314470392162913E-3"/>
                  <c:y val="-2.8478964401294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8050323186286122E-3"/>
                  <c:y val="-2.5889967637540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094341117648706E-2"/>
                  <c:y val="-2.5889967637540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5889967637540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Gràfics!$D$452:$H$452</c:f>
              <c:strCache>
                <c:ptCount val="5"/>
                <c:pt idx="0">
                  <c:v>Contingut de la feina</c:v>
                </c:pt>
                <c:pt idx="1">
                  <c:v>Perspectives de millora i promoció</c:v>
                </c:pt>
                <c:pt idx="2">
                  <c:v>Nivell de retribució</c:v>
                </c:pt>
                <c:pt idx="3">
                  <c:v>Utilitat dels coneixements de la formació universitària</c:v>
                </c:pt>
                <c:pt idx="4">
                  <c:v>Satisfacció general amb la feina *</c:v>
                </c:pt>
              </c:strCache>
            </c:strRef>
          </c:cat>
          <c:val>
            <c:numRef>
              <c:f>Gràfics!$D$453:$H$453</c:f>
              <c:numCache>
                <c:formatCode>0.00</c:formatCode>
                <c:ptCount val="5"/>
                <c:pt idx="0">
                  <c:v>5.4970297029702975</c:v>
                </c:pt>
                <c:pt idx="1">
                  <c:v>4.6486129458388374</c:v>
                </c:pt>
                <c:pt idx="2">
                  <c:v>4.5300330033003302</c:v>
                </c:pt>
                <c:pt idx="3">
                  <c:v>4.6145214521452145</c:v>
                </c:pt>
                <c:pt idx="4">
                  <c:v>5.2647058823529411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Gràfics!$C$454</c:f>
              <c:strCache>
                <c:ptCount val="1"/>
              </c:strCache>
            </c:strRef>
          </c:tx>
          <c:spPr>
            <a:ln w="41275">
              <a:solidFill>
                <a:prstClr val="black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320755838236708E-2"/>
                  <c:y val="-3.8834951456310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062894078432501E-2"/>
                  <c:y val="3.3656957928802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4.6601941747572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88682235297568E-2"/>
                  <c:y val="-5.4219834360409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314470392162913E-3"/>
                  <c:y val="-2.5889967637540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446543995101668E-2"/>
                  <c:y val="-1.553398058252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2893087990203052E-3"/>
                  <c:y val="2.0711974110032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8050323186286122E-3"/>
                  <c:y val="-1.81229773462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Gràfics!$D$452:$H$452</c:f>
              <c:strCache>
                <c:ptCount val="5"/>
                <c:pt idx="0">
                  <c:v>Contingut de la feina</c:v>
                </c:pt>
                <c:pt idx="1">
                  <c:v>Perspectives de millora i promoció</c:v>
                </c:pt>
                <c:pt idx="2">
                  <c:v>Nivell de retribució</c:v>
                </c:pt>
                <c:pt idx="3">
                  <c:v>Utilitat dels coneixements de la formació universitària</c:v>
                </c:pt>
                <c:pt idx="4">
                  <c:v>Satisfacció general amb la feina *</c:v>
                </c:pt>
              </c:strCache>
            </c:strRef>
          </c:cat>
          <c:val>
            <c:numRef>
              <c:f>Gràfics!$D$454:$H$454</c:f>
              <c:numCache>
                <c:formatCode>0.00</c:formatCode>
                <c:ptCount val="5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158016"/>
        <c:axId val="217159552"/>
      </c:lineChart>
      <c:catAx>
        <c:axId val="21715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7159552"/>
        <c:crosses val="autoZero"/>
        <c:auto val="1"/>
        <c:lblAlgn val="ctr"/>
        <c:lblOffset val="100"/>
        <c:noMultiLvlLbl val="0"/>
      </c:catAx>
      <c:valAx>
        <c:axId val="217159552"/>
        <c:scaling>
          <c:orientation val="minMax"/>
          <c:max val="6"/>
          <c:min val="3"/>
        </c:scaling>
        <c:delete val="1"/>
        <c:axPos val="l"/>
        <c:numFmt formatCode="0" sourceLinked="0"/>
        <c:majorTickMark val="out"/>
        <c:minorTickMark val="none"/>
        <c:tickLblPos val="none"/>
        <c:crossAx val="217158016"/>
        <c:crosses val="autoZero"/>
        <c:crossBetween val="between"/>
        <c:majorUnit val="1"/>
      </c:valAx>
    </c:plotArea>
    <c:legend>
      <c:legendPos val="t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Diferències entre nivell i utilitat de TOTES</a:t>
            </a:r>
            <a:r>
              <a:rPr lang="es-ES" baseline="0"/>
              <a:t> les competències 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Gràfics!$C$577:$P$577</c:f>
              <c:strCache>
                <c:ptCount val="14"/>
                <c:pt idx="0">
                  <c:v>Formació Teòrica</c:v>
                </c:pt>
                <c:pt idx="1">
                  <c:v>Formació Pràctica</c:v>
                </c:pt>
                <c:pt idx="3">
                  <c:v>Informàtica</c:v>
                </c:pt>
                <c:pt idx="4">
                  <c:v>Idiomes</c:v>
                </c:pt>
                <c:pt idx="5">
                  <c:v>Documentació</c:v>
                </c:pt>
                <c:pt idx="7">
                  <c:v>Gestió </c:v>
                </c:pt>
                <c:pt idx="8">
                  <c:v>Comunicació oral </c:v>
                </c:pt>
                <c:pt idx="9">
                  <c:v>Comunicació escrita</c:v>
                </c:pt>
                <c:pt idx="11">
                  <c:v>Treball den equip</c:v>
                </c:pt>
                <c:pt idx="12">
                  <c:v>Lideratge</c:v>
                </c:pt>
                <c:pt idx="13">
                  <c:v>Resolució de problemes</c:v>
                </c:pt>
              </c:strCache>
            </c:strRef>
          </c:cat>
          <c:val>
            <c:numRef>
              <c:f>Gràfics!$C$578:$P$578</c:f>
              <c:numCache>
                <c:formatCode>0.00</c:formatCode>
                <c:ptCount val="14"/>
                <c:pt idx="0">
                  <c:v>0.91211031091569339</c:v>
                </c:pt>
                <c:pt idx="1">
                  <c:v>0.23187169133402552</c:v>
                </c:pt>
                <c:pt idx="3">
                  <c:v>-1.1287964004499438</c:v>
                </c:pt>
                <c:pt idx="4">
                  <c:v>-2.4403203822495163</c:v>
                </c:pt>
                <c:pt idx="5">
                  <c:v>-0.6584130557118737</c:v>
                </c:pt>
                <c:pt idx="7">
                  <c:v>-1.3322189310864045</c:v>
                </c:pt>
                <c:pt idx="8">
                  <c:v>-1.2830306383339676</c:v>
                </c:pt>
                <c:pt idx="9">
                  <c:v>-1.0421499436937292</c:v>
                </c:pt>
                <c:pt idx="11">
                  <c:v>-0.66872890888638903</c:v>
                </c:pt>
                <c:pt idx="12">
                  <c:v>-1.6041777568226636</c:v>
                </c:pt>
                <c:pt idx="13">
                  <c:v>-0.88733925151248005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217180800"/>
        <c:axId val="217223552"/>
      </c:barChart>
      <c:catAx>
        <c:axId val="217180800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400" b="1"/>
            </a:pPr>
            <a:endParaRPr lang="es-ES"/>
          </a:p>
        </c:txPr>
        <c:crossAx val="217223552"/>
        <c:crosses val="autoZero"/>
        <c:auto val="1"/>
        <c:lblAlgn val="ctr"/>
        <c:lblOffset val="1000"/>
        <c:noMultiLvlLbl val="0"/>
      </c:catAx>
      <c:valAx>
        <c:axId val="21722355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217180800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i="0" u="none"/>
            </a:pPr>
            <a:r>
              <a:rPr lang="es-ES" sz="2400" i="0" u="none"/>
              <a:t>Motius per no cercar feina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3321445584698"/>
          <c:y val="5.1105648469079714E-3"/>
          <c:w val="0.80837724478166417"/>
          <c:h val="0.960819002840373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Gràfics!$K$721</c:f>
              <c:strCache>
                <c:ptCount val="1"/>
                <c:pt idx="0">
                  <c:v>NS/NC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Gràfics!$L$723</c:f>
              <c:numCache>
                <c:formatCode>General</c:formatCode>
                <c:ptCount val="1"/>
                <c:pt idx="0">
                  <c:v>1.5151515151515152E-2</c:v>
                </c:pt>
              </c:numCache>
            </c:numRef>
          </c:val>
        </c:ser>
        <c:ser>
          <c:idx val="2"/>
          <c:order val="1"/>
          <c:tx>
            <c:strRef>
              <c:f>Gràfics!$I$721</c:f>
              <c:strCache>
                <c:ptCount val="1"/>
                <c:pt idx="0">
                  <c:v>Altres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Gràfics!$J$723</c:f>
              <c:numCache>
                <c:formatCode>General</c:formatCode>
                <c:ptCount val="1"/>
                <c:pt idx="0">
                  <c:v>0.2878787878787879</c:v>
                </c:pt>
              </c:numCache>
            </c:numRef>
          </c:val>
        </c:ser>
        <c:ser>
          <c:idx val="0"/>
          <c:order val="2"/>
          <c:tx>
            <c:strRef>
              <c:f>Gràfics!$G$721</c:f>
              <c:strCache>
                <c:ptCount val="1"/>
                <c:pt idx="0">
                  <c:v>Maternitat
Llar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Gràfics!$H$723</c:f>
              <c:numCache>
                <c:formatCode>General</c:formatCode>
                <c:ptCount val="1"/>
                <c:pt idx="0">
                  <c:v>7.575757575757576E-2</c:v>
                </c:pt>
              </c:numCache>
            </c:numRef>
          </c:val>
        </c:ser>
        <c:ser>
          <c:idx val="1"/>
          <c:order val="3"/>
          <c:tx>
            <c:strRef>
              <c:f>Gràfics!$E$721</c:f>
              <c:strCache>
                <c:ptCount val="1"/>
                <c:pt idx="0">
                  <c:v>Continuar
 estudis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Gràfics!$F$723</c:f>
              <c:numCache>
                <c:formatCode>General</c:formatCode>
                <c:ptCount val="1"/>
                <c:pt idx="0">
                  <c:v>0.62121212121212122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17268224"/>
        <c:axId val="217269760"/>
      </c:barChart>
      <c:catAx>
        <c:axId val="217268224"/>
        <c:scaling>
          <c:orientation val="minMax"/>
        </c:scaling>
        <c:delete val="1"/>
        <c:axPos val="b"/>
        <c:majorTickMark val="none"/>
        <c:minorTickMark val="none"/>
        <c:tickLblPos val="none"/>
        <c:crossAx val="217269760"/>
        <c:crosses val="autoZero"/>
        <c:auto val="1"/>
        <c:lblAlgn val="ctr"/>
        <c:lblOffset val="100"/>
        <c:noMultiLvlLbl val="0"/>
      </c:catAx>
      <c:valAx>
        <c:axId val="2172697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7268224"/>
        <c:crosses val="autoZero"/>
        <c:crossBetween val="between"/>
        <c:majorUnit val="0.25"/>
      </c:valAx>
    </c:plotArea>
    <c:legend>
      <c:legendPos val="l"/>
      <c:layout>
        <c:manualLayout>
          <c:xMode val="edge"/>
          <c:yMode val="edge"/>
          <c:x val="1.6410261711370631E-2"/>
          <c:y val="0.2147081086390733"/>
          <c:w val="0.21381063505559278"/>
          <c:h val="0.51279488155210962"/>
        </c:manualLayout>
      </c:layout>
      <c:overlay val="0"/>
      <c:txPr>
        <a:bodyPr/>
        <a:lstStyle/>
        <a:p>
          <a:pPr>
            <a:defRPr sz="110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Ocupació actual o passada</a:t>
            </a:r>
            <a:r>
              <a:rPr lang="es-ES" baseline="0"/>
              <a:t> del MARE</a:t>
            </a:r>
          </a:p>
        </c:rich>
      </c:tx>
      <c:layout>
        <c:manualLayout>
          <c:xMode val="edge"/>
          <c:yMode val="edge"/>
          <c:x val="0.34503808494935795"/>
          <c:y val="2.1818181818181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4423703928508447E-2"/>
          <c:y val="3.8097151654919191E-2"/>
          <c:w val="0.97740794693988564"/>
          <c:h val="0.72561624192934326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EEECE1">
                  <a:lumMod val="9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4BACC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Gràfics!$H$935:$N$938</c:f>
              <c:multiLvlStrCache>
                <c:ptCount val="7"/>
                <c:lvl>
                  <c:pt idx="0">
                    <c:v>Sí</c:v>
                  </c:pt>
                  <c:pt idx="1">
                    <c:v>No</c:v>
                  </c:pt>
                  <c:pt idx="2">
                    <c:v>NS/NC</c:v>
                  </c:pt>
                  <c:pt idx="3">
                    <c:v>Direcció/gestió</c:v>
                  </c:pt>
                  <c:pt idx="4">
                    <c:v>Tècnic superior</c:v>
                  </c:pt>
                  <c:pt idx="5">
                    <c:v>Qualificat</c:v>
                  </c:pt>
                  <c:pt idx="6">
                    <c:v>No qualificat</c:v>
                  </c:pt>
                </c:lvl>
                <c:lvl>
                  <c:pt idx="0">
                    <c:v>La feina requereix nivell universitari</c:v>
                  </c:pt>
                </c:lvl>
                <c:lvl>
                  <c:pt idx="0">
                    <c:v>Compte propi (%)</c:v>
                  </c:pt>
                  <c:pt idx="2">
                    <c:v>Compte aliè (%)</c:v>
                  </c:pt>
                </c:lvl>
                <c:lvl>
                  <c:pt idx="0">
                    <c:v>Ocupació actual o passada del MARE (%)</c:v>
                  </c:pt>
                </c:lvl>
              </c:multiLvlStrCache>
            </c:multiLvlStrRef>
          </c:cat>
          <c:val>
            <c:numRef>
              <c:f>Gràfics!$H$939:$N$939</c:f>
              <c:numCache>
                <c:formatCode>0.00%</c:formatCode>
                <c:ptCount val="7"/>
                <c:pt idx="0">
                  <c:v>0.19519519519519518</c:v>
                </c:pt>
                <c:pt idx="1">
                  <c:v>0.80180180180180183</c:v>
                </c:pt>
                <c:pt idx="2">
                  <c:v>5.4995417048579283E-3</c:v>
                </c:pt>
                <c:pt idx="3">
                  <c:v>8.8909257561869848E-2</c:v>
                </c:pt>
                <c:pt idx="4">
                  <c:v>0.20714940421631531</c:v>
                </c:pt>
                <c:pt idx="5">
                  <c:v>0.34647112740604952</c:v>
                </c:pt>
                <c:pt idx="6">
                  <c:v>0.35197066911090741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313664"/>
        <c:axId val="217315200"/>
      </c:barChart>
      <c:catAx>
        <c:axId val="217313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7315200"/>
        <c:crosses val="autoZero"/>
        <c:auto val="1"/>
        <c:lblAlgn val="ctr"/>
        <c:lblOffset val="100"/>
        <c:noMultiLvlLbl val="0"/>
      </c:catAx>
      <c:valAx>
        <c:axId val="217315200"/>
        <c:scaling>
          <c:orientation val="minMax"/>
          <c:max val="0.8"/>
        </c:scaling>
        <c:delete val="1"/>
        <c:axPos val="l"/>
        <c:numFmt formatCode="0%" sourceLinked="0"/>
        <c:majorTickMark val="out"/>
        <c:minorTickMark val="none"/>
        <c:tickLblPos val="none"/>
        <c:crossAx val="217313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3214455846991"/>
          <c:y val="5.1105648469079688E-3"/>
          <c:w val="0.80837724478166395"/>
          <c:h val="0.98722174314009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Gràfics!$H$607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Gràfics!$D$608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Gràfics!$H$608</c:f>
              <c:numCache>
                <c:formatCode>0.00%</c:formatCode>
                <c:ptCount val="1"/>
                <c:pt idx="0">
                  <c:v>2.5974025974025976E-2</c:v>
                </c:pt>
              </c:numCache>
            </c:numRef>
          </c:val>
        </c:ser>
        <c:ser>
          <c:idx val="0"/>
          <c:order val="1"/>
          <c:tx>
            <c:strRef>
              <c:f>Gràfics!$G$607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Gràfics!$D$608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Gràfics!$G$608</c:f>
              <c:numCache>
                <c:formatCode>0.00%</c:formatCode>
                <c:ptCount val="1"/>
                <c:pt idx="0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Gràfics!$F$607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Gràfics!$D$608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Gràfics!$F$608</c:f>
              <c:numCache>
                <c:formatCode>0.00%</c:formatCode>
                <c:ptCount val="1"/>
                <c:pt idx="0">
                  <c:v>0.23376623376623376</c:v>
                </c:pt>
              </c:numCache>
            </c:numRef>
          </c:val>
        </c:ser>
        <c:ser>
          <c:idx val="3"/>
          <c:order val="3"/>
          <c:tx>
            <c:strRef>
              <c:f>Gràfics!$E$607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Gràfics!$D$608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Gràfics!$E$608</c:f>
              <c:numCache>
                <c:formatCode>0.00%</c:formatCode>
                <c:ptCount val="1"/>
                <c:pt idx="0">
                  <c:v>0.64935064935064934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17507328"/>
        <c:axId val="217508864"/>
      </c:barChart>
      <c:catAx>
        <c:axId val="217507328"/>
        <c:scaling>
          <c:orientation val="minMax"/>
        </c:scaling>
        <c:delete val="1"/>
        <c:axPos val="b"/>
        <c:majorTickMark val="none"/>
        <c:minorTickMark val="none"/>
        <c:tickLblPos val="none"/>
        <c:crossAx val="217508864"/>
        <c:crosses val="autoZero"/>
        <c:auto val="1"/>
        <c:lblAlgn val="ctr"/>
        <c:lblOffset val="100"/>
        <c:noMultiLvlLbl val="0"/>
      </c:catAx>
      <c:valAx>
        <c:axId val="2175088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7507328"/>
        <c:crosses val="autoZero"/>
        <c:crossBetween val="between"/>
        <c:majorUnit val="0.25"/>
      </c:valAx>
    </c:plotArea>
    <c:legend>
      <c:legendPos val="l"/>
      <c:layout>
        <c:manualLayout>
          <c:xMode val="edge"/>
          <c:yMode val="edge"/>
          <c:x val="1.6410261711370631E-2"/>
          <c:y val="0.21470810863907336"/>
          <c:w val="0.21381063505559283"/>
          <c:h val="0.51279488155210962"/>
        </c:manualLayout>
      </c:layout>
      <c:overlay val="0"/>
      <c:txPr>
        <a:bodyPr/>
        <a:lstStyle/>
        <a:p>
          <a:pPr>
            <a:defRPr sz="110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74366368033719"/>
          <c:y val="4.1921393536073215E-2"/>
          <c:w val="0.87525635643560962"/>
          <c:h val="0.910907502810805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Gràfics!$C$663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BC474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CF7D7B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Gràfics!$D$662:$N$662</c:f>
              <c:strCache>
                <c:ptCount val="11"/>
                <c:pt idx="0">
                  <c:v>Contactes
personals</c:v>
                </c:pt>
                <c:pt idx="1">
                  <c:v>Internet</c:v>
                </c:pt>
                <c:pt idx="2">
                  <c:v>Iniciativa personal</c:v>
                </c:pt>
                <c:pt idx="3">
                  <c:v>Servei Català
Col·locació</c:v>
                </c:pt>
                <c:pt idx="4">
                  <c:v>Anuncis
a la premsa</c:v>
                </c:pt>
                <c:pt idx="5">
                  <c:v>Serveis
Universitat</c:v>
                </c:pt>
                <c:pt idx="6">
                  <c:v>Pròpia
empresa</c:v>
                </c:pt>
                <c:pt idx="7">
                  <c:v>Col·legi
professional</c:v>
                </c:pt>
                <c:pt idx="8">
                  <c:v>Altres</c:v>
                </c:pt>
                <c:pt idx="9">
                  <c:v>Oposicions
Concurs públic</c:v>
                </c:pt>
                <c:pt idx="10">
                  <c:v>Conveni
Coop. educativa</c:v>
                </c:pt>
              </c:strCache>
            </c:strRef>
          </c:cat>
          <c:val>
            <c:numRef>
              <c:f>Gràfics!$D$663:$N$663</c:f>
              <c:numCache>
                <c:formatCode>0.00%</c:formatCode>
                <c:ptCount val="11"/>
                <c:pt idx="0">
                  <c:v>0.17341040462427745</c:v>
                </c:pt>
                <c:pt idx="1">
                  <c:v>0.20953757225433525</c:v>
                </c:pt>
                <c:pt idx="2">
                  <c:v>0.16040462427745664</c:v>
                </c:pt>
                <c:pt idx="3">
                  <c:v>0.10404624277456648</c:v>
                </c:pt>
                <c:pt idx="4">
                  <c:v>8.6705202312138727E-2</c:v>
                </c:pt>
                <c:pt idx="5">
                  <c:v>8.0924855491329481E-2</c:v>
                </c:pt>
                <c:pt idx="6">
                  <c:v>3.7572254335260118E-2</c:v>
                </c:pt>
                <c:pt idx="7">
                  <c:v>7.0809248554913301E-2</c:v>
                </c:pt>
                <c:pt idx="8">
                  <c:v>4.335260115606936E-3</c:v>
                </c:pt>
                <c:pt idx="9">
                  <c:v>5.4913294797687862E-2</c:v>
                </c:pt>
                <c:pt idx="10">
                  <c:v>1.7341040462427744E-2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17553536"/>
        <c:axId val="217575808"/>
      </c:barChart>
      <c:catAx>
        <c:axId val="2175535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7575808"/>
        <c:crosses val="autoZero"/>
        <c:auto val="1"/>
        <c:lblAlgn val="ctr"/>
        <c:lblOffset val="100"/>
        <c:noMultiLvlLbl val="0"/>
      </c:catAx>
      <c:valAx>
        <c:axId val="217575808"/>
        <c:scaling>
          <c:orientation val="minMax"/>
          <c:max val="0.30000000000000032"/>
        </c:scaling>
        <c:delete val="1"/>
        <c:axPos val="t"/>
        <c:numFmt formatCode="0%" sourceLinked="0"/>
        <c:majorTickMark val="out"/>
        <c:minorTickMark val="none"/>
        <c:tickLblPos val="none"/>
        <c:crossAx val="217553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blurRad="50800" dist="38100" algn="l" rotWithShape="0">
        <a:sysClr val="window" lastClr="FFFFFF">
          <a:alpha val="40000"/>
        </a:sysClr>
      </a:outerShdw>
    </a:effectLst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74366368033719"/>
          <c:y val="4.1921393536073215E-2"/>
          <c:w val="0.87525635643560962"/>
          <c:h val="0.910907502810805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Gràfics!$D$639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BACC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F79646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8064A2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BC474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Gràfics!$F$638:$I$638</c:f>
              <c:strCache>
                <c:ptCount val="4"/>
                <c:pt idx="0">
                  <c:v>0</c:v>
                </c:pt>
                <c:pt idx="1">
                  <c:v>1 - 3</c:v>
                </c:pt>
                <c:pt idx="2">
                  <c:v>4 - 8</c:v>
                </c:pt>
                <c:pt idx="3">
                  <c:v>Més de 8</c:v>
                </c:pt>
              </c:strCache>
            </c:strRef>
          </c:cat>
          <c:val>
            <c:numRef>
              <c:f>Gràfics!$F$639:$I$639</c:f>
              <c:numCache>
                <c:formatCode>0.00%</c:formatCode>
                <c:ptCount val="4"/>
                <c:pt idx="0">
                  <c:v>0.35064935064935066</c:v>
                </c:pt>
                <c:pt idx="1">
                  <c:v>0.51948051948051943</c:v>
                </c:pt>
                <c:pt idx="2">
                  <c:v>0.11688311688311688</c:v>
                </c:pt>
                <c:pt idx="3">
                  <c:v>6.4935064935064939E-3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17601536"/>
        <c:axId val="217603456"/>
      </c:barChart>
      <c:catAx>
        <c:axId val="217601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+mn-lt"/>
                  </a:defRPr>
                </a:pPr>
                <a:r>
                  <a:rPr lang="es-ES" sz="1200">
                    <a:latin typeface="+mn-lt"/>
                  </a:rPr>
                  <a:t>Número</a:t>
                </a:r>
                <a:r>
                  <a:rPr lang="es-ES" sz="1200" baseline="0">
                    <a:latin typeface="+mn-lt"/>
                  </a:rPr>
                  <a:t> d'ofertes  rebutjades</a:t>
                </a:r>
                <a:endParaRPr lang="es-ES" sz="1200">
                  <a:latin typeface="+mn-lt"/>
                </a:endParaRP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17603456"/>
        <c:crosses val="autoZero"/>
        <c:auto val="1"/>
        <c:lblAlgn val="ctr"/>
        <c:lblOffset val="100"/>
        <c:noMultiLvlLbl val="0"/>
      </c:catAx>
      <c:valAx>
        <c:axId val="217603456"/>
        <c:scaling>
          <c:orientation val="minMax"/>
          <c:max val="0.70000000000000062"/>
        </c:scaling>
        <c:delete val="1"/>
        <c:axPos val="b"/>
        <c:numFmt formatCode="0%" sourceLinked="0"/>
        <c:majorTickMark val="out"/>
        <c:minorTickMark val="none"/>
        <c:tickLblPos val="none"/>
        <c:crossAx val="217601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blurRad="50800" dist="38100" algn="l" rotWithShape="0">
        <a:sysClr val="window" lastClr="FFFFFF">
          <a:alpha val="40000"/>
        </a:sysClr>
      </a:outerShdw>
    </a:effectLst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baseline="0"/>
              <a:t>% de titulats que guanyen més de 30.000€ anuals bruts</a:t>
            </a:r>
            <a:endParaRPr lang="en-US" sz="1400" b="1"/>
          </a:p>
        </c:rich>
      </c:tx>
      <c:layout>
        <c:manualLayout>
          <c:xMode val="edge"/>
          <c:yMode val="edge"/>
          <c:x val="0.11089757848065609"/>
          <c:y val="6.70016750418762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28146183318597E-2"/>
          <c:y val="0.125843804537522"/>
          <c:w val="0.52793471437539263"/>
          <c:h val="0.698037608312659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'Taules comparativa'!$I$75</c:f>
              <c:strCache>
                <c:ptCount val="1"/>
                <c:pt idx="0">
                  <c:v>Més de 30.000 €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comparativa'!$J$74:$L$74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comparativa'!$J$75:$L$75</c:f>
              <c:numCache>
                <c:formatCode>0.00%</c:formatCode>
                <c:ptCount val="3"/>
                <c:pt idx="0">
                  <c:v>0.26523297491039427</c:v>
                </c:pt>
                <c:pt idx="1">
                  <c:v>0.38050314465408808</c:v>
                </c:pt>
                <c:pt idx="2">
                  <c:v>0.34308211473565803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25"/>
        <c:axId val="214452864"/>
        <c:axId val="214462848"/>
      </c:barChart>
      <c:catAx>
        <c:axId val="2144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214462848"/>
        <c:crosses val="autoZero"/>
        <c:auto val="1"/>
        <c:lblAlgn val="ctr"/>
        <c:lblOffset val="100"/>
        <c:noMultiLvlLbl val="0"/>
      </c:catAx>
      <c:valAx>
        <c:axId val="2144628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4452864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(Gens Important  1 - 7 Molt important)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881546266681202E-2"/>
          <c:y val="0.16352225874678286"/>
          <c:w val="0.95428197437547779"/>
          <c:h val="0.70426623856483961"/>
        </c:manualLayout>
      </c:layout>
      <c:lineChart>
        <c:grouping val="standard"/>
        <c:varyColors val="0"/>
        <c:ser>
          <c:idx val="0"/>
          <c:order val="0"/>
          <c:tx>
            <c:strRef>
              <c:f>Gràfics!$C$695</c:f>
              <c:strCache>
                <c:ptCount val="1"/>
                <c:pt idx="0">
                  <c:v>TOTAL UPC</c:v>
                </c:pt>
              </c:strCache>
            </c:strRef>
          </c:tx>
          <c:spPr>
            <a:ln w="38100">
              <a:solidFill>
                <a:srgbClr val="1F4A7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798745287846805E-2"/>
                  <c:y val="1.973471003585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accent1"/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Gràfics!$D$694:$L$694</c:f>
              <c:strCache>
                <c:ptCount val="9"/>
                <c:pt idx="0">
                  <c:v>Mancances formació
universitària rebuda</c:v>
                </c:pt>
                <c:pt idx="1">
                  <c:v>Activitats personals
impedeixen treballar</c:v>
                </c:pt>
                <c:pt idx="2">
                  <c:v>Manca de pràctica
professional</c:v>
                </c:pt>
                <c:pt idx="3">
                  <c:v>Tenir una feina
que m'agradi</c:v>
                </c:pt>
                <c:pt idx="4">
                  <c:v>Manca coneixements
mercat laboral</c:v>
                </c:pt>
                <c:pt idx="5">
                  <c:v>Una feina amb un
nivell retributiu adequat</c:v>
                </c:pt>
                <c:pt idx="6">
                  <c:v>Manca coneixements
d'idiomes</c:v>
                </c:pt>
                <c:pt idx="7">
                  <c:v>Manca coneixements
en informàtica</c:v>
                </c:pt>
                <c:pt idx="8">
                  <c:v>Manca d'altres coneixements</c:v>
                </c:pt>
              </c:strCache>
            </c:strRef>
          </c:cat>
          <c:val>
            <c:numRef>
              <c:f>Gràfics!$D$695:$K$695</c:f>
              <c:numCache>
                <c:formatCode>0.00</c:formatCode>
                <c:ptCount val="8"/>
                <c:pt idx="0">
                  <c:v>3.2105263157894739</c:v>
                </c:pt>
                <c:pt idx="1">
                  <c:v>2.7581699346405228</c:v>
                </c:pt>
                <c:pt idx="2">
                  <c:v>4.3071895424836599</c:v>
                </c:pt>
                <c:pt idx="3">
                  <c:v>4.5723684210526319</c:v>
                </c:pt>
                <c:pt idx="4">
                  <c:v>3.4934210526315788</c:v>
                </c:pt>
                <c:pt idx="5">
                  <c:v>4.6209150326797381</c:v>
                </c:pt>
                <c:pt idx="6">
                  <c:v>4.0457516339869279</c:v>
                </c:pt>
                <c:pt idx="7">
                  <c:v>3.3725490196078431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Gràfics!$C$696</c:f>
              <c:strCache>
                <c:ptCount val="1"/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46519877830952E-2"/>
                  <c:y val="3.4980111409941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110040519986192E-2"/>
                  <c:y val="1.96323919058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Gràfics!$D$694:$L$694</c:f>
              <c:strCache>
                <c:ptCount val="9"/>
                <c:pt idx="0">
                  <c:v>Mancances formació
universitària rebuda</c:v>
                </c:pt>
                <c:pt idx="1">
                  <c:v>Activitats personals
impedeixen treballar</c:v>
                </c:pt>
                <c:pt idx="2">
                  <c:v>Manca de pràctica
professional</c:v>
                </c:pt>
                <c:pt idx="3">
                  <c:v>Tenir una feina
que m'agradi</c:v>
                </c:pt>
                <c:pt idx="4">
                  <c:v>Manca coneixements
mercat laboral</c:v>
                </c:pt>
                <c:pt idx="5">
                  <c:v>Una feina amb un
nivell retributiu adequat</c:v>
                </c:pt>
                <c:pt idx="6">
                  <c:v>Manca coneixements
d'idiomes</c:v>
                </c:pt>
                <c:pt idx="7">
                  <c:v>Manca coneixements
en informàtica</c:v>
                </c:pt>
                <c:pt idx="8">
                  <c:v>Manca d'altres coneixements</c:v>
                </c:pt>
              </c:strCache>
            </c:strRef>
          </c:cat>
          <c:val>
            <c:numRef>
              <c:f>Gràfics!$D$696:$L$696</c:f>
              <c:numCache>
                <c:formatCode>0.00</c:formatCode>
                <c:ptCount val="9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629056"/>
        <c:axId val="217630592"/>
      </c:lineChart>
      <c:catAx>
        <c:axId val="21762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s-ES"/>
          </a:p>
        </c:txPr>
        <c:crossAx val="217630592"/>
        <c:crosses val="autoZero"/>
        <c:auto val="1"/>
        <c:lblAlgn val="ctr"/>
        <c:lblOffset val="100"/>
        <c:noMultiLvlLbl val="0"/>
      </c:catAx>
      <c:valAx>
        <c:axId val="217630592"/>
        <c:scaling>
          <c:orientation val="minMax"/>
          <c:max val="6"/>
          <c:min val="2"/>
        </c:scaling>
        <c:delete val="1"/>
        <c:axPos val="l"/>
        <c:numFmt formatCode="0" sourceLinked="0"/>
        <c:majorTickMark val="out"/>
        <c:minorTickMark val="none"/>
        <c:tickLblPos val="none"/>
        <c:crossAx val="217629056"/>
        <c:crosses val="autoZero"/>
        <c:crossBetween val="between"/>
        <c:majorUnit val="1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43580617230185142"/>
          <c:y val="9.7842281527910857E-2"/>
          <c:w val="0.13313202370624461"/>
          <c:h val="4.659043233895725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comparativa'!$B$19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comparativa'!$C$18:$E$18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comparativa'!$C$19:$E$19</c:f>
              <c:numCache>
                <c:formatCode>0.00%</c:formatCode>
                <c:ptCount val="3"/>
                <c:pt idx="0" formatCode="0%">
                  <c:v>1.8099547511312219E-2</c:v>
                </c:pt>
                <c:pt idx="1">
                  <c:v>1.2396694214876033E-2</c:v>
                </c:pt>
                <c:pt idx="2">
                  <c:v>6.1486864169927333E-3</c:v>
                </c:pt>
              </c:numCache>
            </c:numRef>
          </c:val>
        </c:ser>
        <c:ser>
          <c:idx val="0"/>
          <c:order val="1"/>
          <c:tx>
            <c:strRef>
              <c:f>'Taules comparativa'!$B$20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numFmt formatCode="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comparativa'!$C$18:$E$18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comparativa'!$C$20:$E$20</c:f>
              <c:numCache>
                <c:formatCode>0.00%</c:formatCode>
                <c:ptCount val="3"/>
                <c:pt idx="0" formatCode="0%">
                  <c:v>5.7817998994469579E-2</c:v>
                </c:pt>
                <c:pt idx="1">
                  <c:v>3.8370720188902009E-2</c:v>
                </c:pt>
                <c:pt idx="2">
                  <c:v>0.11682504192286193</c:v>
                </c:pt>
              </c:numCache>
            </c:numRef>
          </c:val>
        </c:ser>
        <c:ser>
          <c:idx val="2"/>
          <c:order val="2"/>
          <c:tx>
            <c:strRef>
              <c:f>'Taules comparativa'!$B$21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comparativa'!$C$18:$E$18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comparativa'!$C$21:$E$21</c:f>
              <c:numCache>
                <c:formatCode>0.00%</c:formatCode>
                <c:ptCount val="3"/>
                <c:pt idx="0" formatCode="0%">
                  <c:v>0.92408245349421814</c:v>
                </c:pt>
                <c:pt idx="1">
                  <c:v>0.94923258559622192</c:v>
                </c:pt>
                <c:pt idx="2">
                  <c:v>0.87702627166014535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8029056"/>
        <c:axId val="218055424"/>
        <c:axId val="0"/>
      </c:bar3DChart>
      <c:catAx>
        <c:axId val="2180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8055424"/>
        <c:crosses val="autoZero"/>
        <c:auto val="1"/>
        <c:lblAlgn val="ctr"/>
        <c:lblOffset val="100"/>
        <c:noMultiLvlLbl val="0"/>
      </c:catAx>
      <c:valAx>
        <c:axId val="21805542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802905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02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82E-2"/>
          <c:y val="0.12018954679443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comparativa'!$B$30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comparativa'!$C$30:$E$30</c:f>
              <c:numCache>
                <c:formatCode>0.00%</c:formatCode>
                <c:ptCount val="3"/>
                <c:pt idx="0" formatCode="0%">
                  <c:v>2.7137736815156171E-2</c:v>
                </c:pt>
                <c:pt idx="1">
                  <c:v>2.9940119760479042E-2</c:v>
                </c:pt>
                <c:pt idx="2" formatCode="0.0%">
                  <c:v>4.8931383577052866E-2</c:v>
                </c:pt>
              </c:numCache>
            </c:numRef>
          </c:val>
        </c:ser>
        <c:ser>
          <c:idx val="0"/>
          <c:order val="1"/>
          <c:tx>
            <c:strRef>
              <c:f>'Taules comparativa'!$B$31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comparativa'!$C$31:$E$31</c:f>
              <c:numCache>
                <c:formatCode>0.00%</c:formatCode>
                <c:ptCount val="3"/>
                <c:pt idx="0" formatCode="0%">
                  <c:v>3.3794162826420893E-2</c:v>
                </c:pt>
                <c:pt idx="1">
                  <c:v>2.9341317365269463E-2</c:v>
                </c:pt>
                <c:pt idx="2" formatCode="0.0%">
                  <c:v>2.0809898762654669E-2</c:v>
                </c:pt>
              </c:numCache>
            </c:numRef>
          </c:val>
        </c:ser>
        <c:ser>
          <c:idx val="2"/>
          <c:order val="2"/>
          <c:tx>
            <c:strRef>
              <c:f>'Taules comparativa'!$B$32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comparativa'!$C$32:$E$32</c:f>
              <c:numCache>
                <c:formatCode>0.00%</c:formatCode>
                <c:ptCount val="3"/>
                <c:pt idx="0" formatCode="0%">
                  <c:v>6.7588325652841785E-2</c:v>
                </c:pt>
                <c:pt idx="1">
                  <c:v>7.6047904191616764E-2</c:v>
                </c:pt>
                <c:pt idx="2" formatCode="0.0%">
                  <c:v>5.6805399325084362E-2</c:v>
                </c:pt>
              </c:numCache>
            </c:numRef>
          </c:val>
        </c:ser>
        <c:ser>
          <c:idx val="3"/>
          <c:order val="3"/>
          <c:tx>
            <c:strRef>
              <c:f>'Taules comparativa'!$B$33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7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comparativa'!$C$33:$E$33</c:f>
              <c:numCache>
                <c:formatCode>0.00%</c:formatCode>
                <c:ptCount val="3"/>
                <c:pt idx="0" formatCode="0%">
                  <c:v>0.166410650281618</c:v>
                </c:pt>
                <c:pt idx="1">
                  <c:v>0.17664670658682635</c:v>
                </c:pt>
                <c:pt idx="2" formatCode="0.0%">
                  <c:v>0.13779527559055119</c:v>
                </c:pt>
              </c:numCache>
            </c:numRef>
          </c:val>
        </c:ser>
        <c:ser>
          <c:idx val="4"/>
          <c:order val="4"/>
          <c:tx>
            <c:strRef>
              <c:f>'Taules comparativa'!$B$34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comparativa'!$C$34:$E$34</c:f>
              <c:numCache>
                <c:formatCode>0.00%</c:formatCode>
                <c:ptCount val="3"/>
                <c:pt idx="0" formatCode="0%">
                  <c:v>0.19457245263696876</c:v>
                </c:pt>
                <c:pt idx="1">
                  <c:v>0.18383233532934132</c:v>
                </c:pt>
                <c:pt idx="2" formatCode="0.0%">
                  <c:v>0.17604049493813273</c:v>
                </c:pt>
              </c:numCache>
            </c:numRef>
          </c:val>
        </c:ser>
        <c:ser>
          <c:idx val="5"/>
          <c:order val="5"/>
          <c:tx>
            <c:strRef>
              <c:f>'Taules comparativa'!$B$35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comparativa'!$C$29:$E$29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comparativa'!$C$35:$E$35</c:f>
              <c:numCache>
                <c:formatCode>0.00%</c:formatCode>
                <c:ptCount val="3"/>
                <c:pt idx="0" formatCode="0%">
                  <c:v>0.51049667178699432</c:v>
                </c:pt>
                <c:pt idx="1">
                  <c:v>0.50419161676646707</c:v>
                </c:pt>
                <c:pt idx="2" formatCode="0.0%">
                  <c:v>0.55961754780652417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8111360"/>
        <c:axId val="218150016"/>
        <c:axId val="0"/>
      </c:bar3DChart>
      <c:catAx>
        <c:axId val="21811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es-ES"/>
          </a:p>
        </c:txPr>
        <c:crossAx val="218150016"/>
        <c:crosses val="autoZero"/>
        <c:auto val="1"/>
        <c:lblAlgn val="ctr"/>
        <c:lblOffset val="100"/>
        <c:noMultiLvlLbl val="0"/>
      </c:catAx>
      <c:valAx>
        <c:axId val="2181500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8111360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500104349277908E-2"/>
          <c:y val="3.4333887043189411E-2"/>
          <c:w val="0.91122793488637877"/>
          <c:h val="0.7198543743078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EEECE1">
                <a:lumMod val="9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0.64874551971326166</c:v>
                </c:pt>
                <c:pt idx="1">
                  <c:v>4.7619047619047616E-2</c:v>
                </c:pt>
                <c:pt idx="2">
                  <c:v>0.11827956989247312</c:v>
                </c:pt>
                <c:pt idx="3">
                  <c:v>2.9697900665642603E-2</c:v>
                </c:pt>
                <c:pt idx="4">
                  <c:v>5.2227342549923193E-2</c:v>
                </c:pt>
                <c:pt idx="5">
                  <c:v>0.10343061955965181</c:v>
                </c:pt>
              </c:numCache>
            </c:numRef>
          </c:val>
        </c:ser>
        <c:ser>
          <c:idx val="1"/>
          <c:order val="1"/>
          <c:tx>
            <c:strRef>
              <c:f>'Taules comparativa'!$B$45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0.6491332934847579</c:v>
                </c:pt>
                <c:pt idx="1">
                  <c:v>6.3359234907352069E-2</c:v>
                </c:pt>
                <c:pt idx="2">
                  <c:v>0.1297071129707113</c:v>
                </c:pt>
                <c:pt idx="3">
                  <c:v>2.1518230723251645E-2</c:v>
                </c:pt>
                <c:pt idx="4">
                  <c:v>7.9497907949790794E-2</c:v>
                </c:pt>
                <c:pt idx="5">
                  <c:v>5.6784219964136282E-2</c:v>
                </c:pt>
              </c:numCache>
            </c:numRef>
          </c:val>
        </c:ser>
        <c:ser>
          <c:idx val="2"/>
          <c:order val="2"/>
          <c:tx>
            <c:strRef>
              <c:f>'Taules comparativa'!$B$46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0.00%</c:formatCode>
                <c:ptCount val="6"/>
                <c:pt idx="0">
                  <c:v>0.60517435320584922</c:v>
                </c:pt>
                <c:pt idx="1">
                  <c:v>6.7491563554555684E-2</c:v>
                </c:pt>
                <c:pt idx="2">
                  <c:v>0.13835770528683913</c:v>
                </c:pt>
                <c:pt idx="3">
                  <c:v>3.3183352080989874E-2</c:v>
                </c:pt>
                <c:pt idx="4">
                  <c:v>7.536557930258718E-2</c:v>
                </c:pt>
                <c:pt idx="5">
                  <c:v>8.0427446569178856E-2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8188416"/>
        <c:axId val="218194304"/>
        <c:axId val="0"/>
      </c:bar3DChart>
      <c:catAx>
        <c:axId val="218188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es-ES"/>
          </a:p>
        </c:txPr>
        <c:crossAx val="218194304"/>
        <c:crosses val="autoZero"/>
        <c:auto val="1"/>
        <c:lblAlgn val="ctr"/>
        <c:lblOffset val="100"/>
        <c:noMultiLvlLbl val="0"/>
      </c:catAx>
      <c:valAx>
        <c:axId val="21819430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81884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4968E-2"/>
          <c:w val="0.22656191336815037"/>
          <c:h val="0.27924777071174001"/>
        </c:manualLayout>
      </c:layout>
      <c:overlay val="0"/>
      <c:txPr>
        <a:bodyPr/>
        <a:lstStyle/>
        <a:p>
          <a:pPr>
            <a:defRPr sz="1600" b="1"/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comparativa'!$B$71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comparativa'!$C$71:$E$71</c:f>
              <c:numCache>
                <c:formatCode>0.00%</c:formatCode>
                <c:ptCount val="3"/>
                <c:pt idx="2">
                  <c:v>4.8368953880764905E-2</c:v>
                </c:pt>
              </c:numCache>
            </c:numRef>
          </c:val>
        </c:ser>
        <c:ser>
          <c:idx val="0"/>
          <c:order val="1"/>
          <c:tx>
            <c:strRef>
              <c:f>'Taules comparativa'!$B$72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comparativa'!$C$72:$E$72</c:f>
              <c:numCache>
                <c:formatCode>0.00%</c:formatCode>
                <c:ptCount val="3"/>
                <c:pt idx="0" formatCode="0%">
                  <c:v>2.9185867895545316E-2</c:v>
                </c:pt>
                <c:pt idx="1">
                  <c:v>2.0125786163522012E-2</c:v>
                </c:pt>
                <c:pt idx="2">
                  <c:v>3.2058492688413945E-2</c:v>
                </c:pt>
              </c:numCache>
            </c:numRef>
          </c:val>
        </c:ser>
        <c:ser>
          <c:idx val="2"/>
          <c:order val="2"/>
          <c:tx>
            <c:strRef>
              <c:f>'Taules comparativa'!$B$73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comparativa'!$C$73:$E$73</c:f>
              <c:numCache>
                <c:formatCode>0.00%</c:formatCode>
                <c:ptCount val="3"/>
                <c:pt idx="0" formatCode="0%">
                  <c:v>5.3763440860215048E-2</c:v>
                </c:pt>
                <c:pt idx="1">
                  <c:v>1.5723270440251572E-2</c:v>
                </c:pt>
                <c:pt idx="2">
                  <c:v>3.2058492688413945E-2</c:v>
                </c:pt>
              </c:numCache>
            </c:numRef>
          </c:val>
        </c:ser>
        <c:ser>
          <c:idx val="3"/>
          <c:order val="3"/>
          <c:tx>
            <c:strRef>
              <c:f>'Taules comparativa'!$B$74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comparativa'!$C$74:$E$74</c:f>
              <c:numCache>
                <c:formatCode>0.00%</c:formatCode>
                <c:ptCount val="3"/>
                <c:pt idx="0" formatCode="0%">
                  <c:v>0.180235535074245</c:v>
                </c:pt>
                <c:pt idx="1">
                  <c:v>3.7106918238993709E-2</c:v>
                </c:pt>
                <c:pt idx="2">
                  <c:v>4.4994375703037118E-2</c:v>
                </c:pt>
              </c:numCache>
            </c:numRef>
          </c:val>
        </c:ser>
        <c:ser>
          <c:idx val="4"/>
          <c:order val="4"/>
          <c:tx>
            <c:strRef>
              <c:f>'Taules comparativa'!$B$75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comparativa'!$C$75:$E$75</c:f>
              <c:numCache>
                <c:formatCode>0.00%</c:formatCode>
                <c:ptCount val="3"/>
                <c:pt idx="1">
                  <c:v>4.5283018867924525E-2</c:v>
                </c:pt>
                <c:pt idx="2">
                  <c:v>5.736782902137233E-2</c:v>
                </c:pt>
              </c:numCache>
            </c:numRef>
          </c:val>
        </c:ser>
        <c:ser>
          <c:idx val="5"/>
          <c:order val="5"/>
          <c:tx>
            <c:strRef>
              <c:f>'Taules comparativa'!$B$76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comparativa'!$C$76:$E$76</c:f>
              <c:numCache>
                <c:formatCode>0.00%</c:formatCode>
                <c:ptCount val="3"/>
                <c:pt idx="0" formatCode="0%">
                  <c:v>0.471582181259601</c:v>
                </c:pt>
                <c:pt idx="1">
                  <c:v>0.20754716981132076</c:v>
                </c:pt>
                <c:pt idx="2">
                  <c:v>0.19966254218222723</c:v>
                </c:pt>
              </c:numCache>
            </c:numRef>
          </c:val>
        </c:ser>
        <c:ser>
          <c:idx val="6"/>
          <c:order val="6"/>
          <c:tx>
            <c:strRef>
              <c:f>'Taules comparativa'!$B$77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comparativa'!$C$77:$E$77</c:f>
              <c:numCache>
                <c:formatCode>0.00%</c:formatCode>
                <c:ptCount val="3"/>
                <c:pt idx="1">
                  <c:v>0.29371069182389936</c:v>
                </c:pt>
                <c:pt idx="2">
                  <c:v>0.24521934758155231</c:v>
                </c:pt>
              </c:numCache>
            </c:numRef>
          </c:val>
        </c:ser>
        <c:ser>
          <c:idx val="7"/>
          <c:order val="7"/>
          <c:tx>
            <c:strRef>
              <c:f>'Taules comparativa'!$B$78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comparativa'!$C$78:$E$78</c:f>
              <c:numCache>
                <c:formatCode>0.00%</c:formatCode>
                <c:ptCount val="3"/>
                <c:pt idx="0" formatCode="0%">
                  <c:v>0.19457245263696876</c:v>
                </c:pt>
                <c:pt idx="1">
                  <c:v>0.26792452830188679</c:v>
                </c:pt>
                <c:pt idx="2">
                  <c:v>0.24184476940382452</c:v>
                </c:pt>
              </c:numCache>
            </c:numRef>
          </c:val>
        </c:ser>
        <c:ser>
          <c:idx val="8"/>
          <c:order val="8"/>
          <c:tx>
            <c:strRef>
              <c:f>'Taules comparativa'!$B$79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comparativa'!$C$70:$E$70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comparativa'!$C$79:$E$79</c:f>
              <c:numCache>
                <c:formatCode>0.00%</c:formatCode>
                <c:ptCount val="3"/>
                <c:pt idx="0" formatCode="0%">
                  <c:v>7.0660522273425494E-2</c:v>
                </c:pt>
                <c:pt idx="1">
                  <c:v>0.11257861635220126</c:v>
                </c:pt>
                <c:pt idx="2">
                  <c:v>0.10123734533183353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8325760"/>
        <c:axId val="218327296"/>
        <c:axId val="0"/>
      </c:bar3DChart>
      <c:catAx>
        <c:axId val="2183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8327296"/>
        <c:crosses val="autoZero"/>
        <c:auto val="1"/>
        <c:lblAlgn val="ctr"/>
        <c:lblOffset val="100"/>
        <c:noMultiLvlLbl val="0"/>
      </c:catAx>
      <c:valAx>
        <c:axId val="21832729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832576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12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74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Lbls>
            <c:dLbl>
              <c:idx val="0"/>
              <c:layout>
                <c:manualLayout>
                  <c:x val="-1.8655792803479638E-2"/>
                  <c:y val="-2.702215189873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comparativa'!$C$88:$E$88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comparativa'!$C$89:$E$89</c:f>
              <c:numCache>
                <c:formatCode>0.00</c:formatCode>
                <c:ptCount val="3"/>
                <c:pt idx="0">
                  <c:v>5.4043261231281194</c:v>
                </c:pt>
                <c:pt idx="1">
                  <c:v>5.5561904761904763</c:v>
                </c:pt>
                <c:pt idx="2">
                  <c:v>5.4970297029702975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3677540529853772E-2"/>
                  <c:y val="-2.0323839662447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-2.2556610407876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12781731909846E-2"/>
                  <c:y val="-3.1149613220815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46E-2"/>
                  <c:y val="-3.761379062645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comparativa'!$C$88:$E$88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comparativa'!$C$90:$E$90</c:f>
              <c:numCache>
                <c:formatCode>0.00</c:formatCode>
                <c:ptCount val="3"/>
                <c:pt idx="0">
                  <c:v>4.7316936836221348</c:v>
                </c:pt>
                <c:pt idx="1">
                  <c:v>5.0731552162849871</c:v>
                </c:pt>
                <c:pt idx="2">
                  <c:v>4.6486129458388374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629629629629692E-2"/>
                  <c:y val="-4.624098476568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78074337682903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082641360221435E-3"/>
                  <c:y val="-6.68952180028129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3E-2"/>
                  <c:y val="-3.3215165006474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comparativa'!$C$88:$E$88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comparativa'!$C$91:$E$91</c:f>
              <c:numCache>
                <c:formatCode>0.00</c:formatCode>
                <c:ptCount val="3"/>
                <c:pt idx="0">
                  <c:v>4.5932297447280801</c:v>
                </c:pt>
                <c:pt idx="1">
                  <c:v>4.7833545108005087</c:v>
                </c:pt>
                <c:pt idx="2">
                  <c:v>4.5300330033003302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976472914195332E-2"/>
                  <c:y val="2.00386779184248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1.316772151898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12306794983963E-4"/>
                  <c:y val="-3.493062899826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3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459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33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5947E-3"/>
                  <c:y val="-2.254728565835058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comparativa'!$C$88:$E$88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comparativa'!$C$92:$E$92</c:f>
              <c:numCache>
                <c:formatCode>0.00</c:formatCode>
                <c:ptCount val="3"/>
                <c:pt idx="0">
                  <c:v>4.4442595673876868</c:v>
                </c:pt>
                <c:pt idx="1">
                  <c:v>4.5447619047619048</c:v>
                </c:pt>
                <c:pt idx="2">
                  <c:v>4.6145214521452145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1253657572162844E-2"/>
                  <c:y val="-2.9254922644163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834816132858837E-2"/>
                  <c:y val="-2.068846694796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comparativa'!$C$88:$E$88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comparativa'!$C$93:$E$93</c:f>
              <c:numCache>
                <c:formatCode>0.00</c:formatCode>
                <c:ptCount val="3"/>
                <c:pt idx="0">
                  <c:v>5.2651136993899055</c:v>
                </c:pt>
                <c:pt idx="1">
                  <c:v>5.3414330218068535</c:v>
                </c:pt>
                <c:pt idx="2">
                  <c:v>5.2647058823529411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81696"/>
        <c:axId val="218424448"/>
      </c:lineChart>
      <c:catAx>
        <c:axId val="21838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es-ES"/>
          </a:p>
        </c:txPr>
        <c:crossAx val="218424448"/>
        <c:crossesAt val="3"/>
        <c:auto val="1"/>
        <c:lblAlgn val="ctr"/>
        <c:lblOffset val="100"/>
        <c:tickMarkSkip val="31999"/>
        <c:noMultiLvlLbl val="0"/>
      </c:catAx>
      <c:valAx>
        <c:axId val="218424448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21838169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592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comparativa'!$B$102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comparativa'!$C$101:$E$101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comparativa'!$C$102:$E$102</c:f>
              <c:numCache>
                <c:formatCode>0.00%</c:formatCode>
                <c:ptCount val="3"/>
                <c:pt idx="0" formatCode="0%">
                  <c:v>0.875</c:v>
                </c:pt>
                <c:pt idx="1">
                  <c:v>0.86486486486486491</c:v>
                </c:pt>
                <c:pt idx="2">
                  <c:v>0.64935064935064934</c:v>
                </c:pt>
              </c:numCache>
            </c:numRef>
          </c:val>
        </c:ser>
        <c:ser>
          <c:idx val="0"/>
          <c:order val="1"/>
          <c:tx>
            <c:strRef>
              <c:f>'Taules comparativa'!$B$103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comparativa'!$C$101:$E$101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comparativa'!$C$103:$E$103</c:f>
              <c:numCache>
                <c:formatCode>0.00%</c:formatCode>
                <c:ptCount val="3"/>
                <c:pt idx="0" formatCode="0%">
                  <c:v>0.11363636363636363</c:v>
                </c:pt>
                <c:pt idx="1">
                  <c:v>5.4054054054054057E-2</c:v>
                </c:pt>
                <c:pt idx="2">
                  <c:v>0.23376623376623376</c:v>
                </c:pt>
              </c:numCache>
            </c:numRef>
          </c:val>
        </c:ser>
        <c:ser>
          <c:idx val="2"/>
          <c:order val="2"/>
          <c:tx>
            <c:strRef>
              <c:f>'Taules comparativa'!$B$104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comparativa'!$C$101:$E$101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comparativa'!$C$104:$E$104</c:f>
              <c:numCache>
                <c:formatCode>0.00%</c:formatCode>
                <c:ptCount val="3"/>
                <c:pt idx="0" formatCode="0%">
                  <c:v>0</c:v>
                </c:pt>
                <c:pt idx="1">
                  <c:v>5.4054054054054057E-2</c:v>
                </c:pt>
                <c:pt idx="2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'Taules comparativa'!$B$105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comparativa'!$C$101:$E$101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comparativa'!$C$105:$E$105</c:f>
              <c:numCache>
                <c:formatCode>0.00%</c:formatCode>
                <c:ptCount val="3"/>
                <c:pt idx="0" formatCode="0%">
                  <c:v>1.1363636363636364E-2</c:v>
                </c:pt>
                <c:pt idx="1">
                  <c:v>2.7027027027027029E-2</c:v>
                </c:pt>
                <c:pt idx="2">
                  <c:v>2.5974025974025976E-2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8473984"/>
        <c:axId val="218475520"/>
        <c:axId val="0"/>
      </c:bar3DChart>
      <c:catAx>
        <c:axId val="218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8475520"/>
        <c:crosses val="autoZero"/>
        <c:auto val="1"/>
        <c:lblAlgn val="ctr"/>
        <c:lblOffset val="100"/>
        <c:noMultiLvlLbl val="0"/>
      </c:catAx>
      <c:valAx>
        <c:axId val="2184755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847398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7703225131830519"/>
          <c:y val="1.7070365279357541E-2"/>
          <c:w val="0.64940236104947779"/>
          <c:h val="7.0102148814046139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Titulats</a:t>
            </a:r>
            <a:r>
              <a:rPr lang="es-ES" baseline="0"/>
              <a:t> que han tingut algun tipus d'experiència de mobilitat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36944356391786E-2"/>
          <c:y val="0.11257681025165989"/>
          <c:w val="0.96723427396892869"/>
          <c:h val="0.692991905423592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comparativa'!$B$116</c:f>
              <c:strCache>
                <c:ptCount val="1"/>
                <c:pt idx="0">
                  <c:v>TOTAL UPC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8064A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5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1985018161077341E-2"/>
                  <c:y val="-2.46498599439775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tx2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940072644309505E-3"/>
                  <c:y val="-2.2408963585434229E-2"/>
                </c:manualLayout>
              </c:layout>
              <c:numFmt formatCode="0%" sourceLinked="0"/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7303268993925E-2"/>
                  <c:y val="-3.137254901960785E-2"/>
                </c:manualLayout>
              </c:layout>
              <c:numFmt formatCode="0%" sourceLinked="0"/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5127127541266E-3"/>
                  <c:y val="-2.46498599439775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4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80523609400555E-2"/>
                  <c:y val="-1.1204481792717132E-2"/>
                </c:manualLayout>
              </c:layout>
              <c:numFmt formatCode="0%" sourceLinked="0"/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8577E-3"/>
                  <c:y val="-2.9131652661064569E-2"/>
                </c:manualLayout>
              </c:layout>
              <c:numFmt formatCode="0%" sourceLinked="0"/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910108966463937E-3"/>
                  <c:y val="-2.016806722689075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910108966463937E-3"/>
                  <c:y val="-2.464985994397759E-2"/>
                </c:manualLayout>
              </c:layout>
              <c:numFmt formatCode="0%" sourceLinked="0"/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7927170868347372E-2"/>
                </c:manualLayout>
              </c:layout>
              <c:numFmt formatCode="0%" sourceLinked="0"/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comparativa'!$C$114:$M$115</c:f>
              <c:multiLvlStrCache>
                <c:ptCount val="11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4">
                    <c:v>Durant els estudis</c:v>
                  </c:pt>
                  <c:pt idx="5">
                    <c:v>Laboralment</c:v>
                  </c:pt>
                  <c:pt idx="6">
                    <c:v>Estudis i feina</c:v>
                  </c:pt>
                  <c:pt idx="8">
                    <c:v>Durant els estudis</c:v>
                  </c:pt>
                  <c:pt idx="9">
                    <c:v>Laboralment</c:v>
                  </c:pt>
                  <c:pt idx="10">
                    <c:v>Estudis i feina</c:v>
                  </c:pt>
                </c:lvl>
                <c:lvl>
                  <c:pt idx="0">
                    <c:v>2005</c:v>
                  </c:pt>
                  <c:pt idx="4">
                    <c:v>2008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'Taules comparativa'!$C$116:$M$116</c:f>
              <c:numCache>
                <c:formatCode>0%</c:formatCode>
                <c:ptCount val="11"/>
                <c:pt idx="0">
                  <c:v>0.11312217194570136</c:v>
                </c:pt>
                <c:pt idx="1">
                  <c:v>0.21518350930115637</c:v>
                </c:pt>
                <c:pt idx="2">
                  <c:v>6.9884364002011062E-2</c:v>
                </c:pt>
                <c:pt idx="4" formatCode="0.00%">
                  <c:v>0.12492528392109982</c:v>
                </c:pt>
                <c:pt idx="5" formatCode="0.00%">
                  <c:v>0.21099820681410639</c:v>
                </c:pt>
                <c:pt idx="6" formatCode="0.00%">
                  <c:v>8.4279736999402277E-2</c:v>
                </c:pt>
                <c:pt idx="8" formatCode="0.00%">
                  <c:v>0.15129358830146231</c:v>
                </c:pt>
                <c:pt idx="9" formatCode="0.00%">
                  <c:v>0.16254218222722161</c:v>
                </c:pt>
                <c:pt idx="10" formatCode="0.00%">
                  <c:v>0.11754780652418448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8540288"/>
        <c:axId val="218628096"/>
        <c:axId val="0"/>
      </c:bar3DChart>
      <c:catAx>
        <c:axId val="218540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es-ES"/>
          </a:p>
        </c:txPr>
        <c:crossAx val="218628096"/>
        <c:crosses val="autoZero"/>
        <c:auto val="1"/>
        <c:lblAlgn val="ctr"/>
        <c:lblOffset val="100"/>
        <c:noMultiLvlLbl val="0"/>
      </c:catAx>
      <c:valAx>
        <c:axId val="218628096"/>
        <c:scaling>
          <c:orientation val="minMax"/>
          <c:max val="0.30000000000000004"/>
        </c:scaling>
        <c:delete val="0"/>
        <c:axPos val="l"/>
        <c:numFmt formatCode="0%" sourceLinked="0"/>
        <c:majorTickMark val="out"/>
        <c:minorTickMark val="none"/>
        <c:tickLblPos val="nextTo"/>
        <c:crossAx val="218540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comparativa'!$B$62</c:f>
              <c:strCache>
                <c:ptCount val="1"/>
                <c:pt idx="0">
                  <c:v>SENSE CONTRACTE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numRef>
              <c:f>'Taules comparativa'!$C$57:$E$57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comparativa'!$C$62:$E$62</c:f>
              <c:numCache>
                <c:formatCode>0.00%</c:formatCode>
                <c:ptCount val="3"/>
                <c:pt idx="0" formatCode="0%">
                  <c:v>4.0962621607782898E-3</c:v>
                </c:pt>
                <c:pt idx="1">
                  <c:v>5.977286312014345E-4</c:v>
                </c:pt>
                <c:pt idx="2">
                  <c:v>3.937007874015748E-3</c:v>
                </c:pt>
              </c:numCache>
            </c:numRef>
          </c:val>
        </c:ser>
        <c:ser>
          <c:idx val="0"/>
          <c:order val="1"/>
          <c:tx>
            <c:strRef>
              <c:f>'Taules comparativa'!$B$61</c:f>
              <c:strCache>
                <c:ptCount val="1"/>
                <c:pt idx="0">
                  <c:v>BECARI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comparativa'!$C$57:$E$57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comparativa'!$C$61:$E$61</c:f>
              <c:numCache>
                <c:formatCode>0.00%</c:formatCode>
                <c:ptCount val="3"/>
                <c:pt idx="0" formatCode="0%">
                  <c:v>2.1505376344086023E-2</c:v>
                </c:pt>
                <c:pt idx="1">
                  <c:v>2.5104602510460251E-2</c:v>
                </c:pt>
                <c:pt idx="2">
                  <c:v>3.5433070866141732E-2</c:v>
                </c:pt>
              </c:numCache>
            </c:numRef>
          </c:val>
        </c:ser>
        <c:ser>
          <c:idx val="2"/>
          <c:order val="2"/>
          <c:tx>
            <c:strRef>
              <c:f>'Taules comparativa'!$B$60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3532287765424443E-17"/>
                  <c:y val="-8.7972512399708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comparativa'!$C$57:$E$57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comparativa'!$C$60:$E$60</c:f>
              <c:numCache>
                <c:formatCode>0.00%</c:formatCode>
                <c:ptCount val="3"/>
                <c:pt idx="0" formatCode="0%">
                  <c:v>0.19406041986687148</c:v>
                </c:pt>
                <c:pt idx="1">
                  <c:v>0.16796174536760311</c:v>
                </c:pt>
                <c:pt idx="2">
                  <c:v>0.2283464566929134</c:v>
                </c:pt>
              </c:numCache>
            </c:numRef>
          </c:val>
        </c:ser>
        <c:ser>
          <c:idx val="3"/>
          <c:order val="3"/>
          <c:tx>
            <c:strRef>
              <c:f>'Taules comparativa'!$B$59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'Taules comparativa'!$C$57:$E$57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comparativa'!$C$59:$E$59</c:f>
              <c:numCache>
                <c:formatCode>0.00%</c:formatCode>
                <c:ptCount val="3"/>
                <c:pt idx="0" formatCode="0%">
                  <c:v>0.13210445468509985</c:v>
                </c:pt>
                <c:pt idx="1">
                  <c:v>0.12193664076509265</c:v>
                </c:pt>
                <c:pt idx="2">
                  <c:v>9.6737907761529809E-2</c:v>
                </c:pt>
              </c:numCache>
            </c:numRef>
          </c:val>
        </c:ser>
        <c:ser>
          <c:idx val="4"/>
          <c:order val="4"/>
          <c:tx>
            <c:strRef>
              <c:f>'Taules comparativa'!$B$58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'Taules comparativa'!$C$57:$E$57</c:f>
              <c:numCache>
                <c:formatCode>General</c:formatCode>
                <c:ptCount val="3"/>
                <c:pt idx="0">
                  <c:v>2005</c:v>
                </c:pt>
                <c:pt idx="1">
                  <c:v>2008</c:v>
                </c:pt>
                <c:pt idx="2">
                  <c:v>2011</c:v>
                </c:pt>
              </c:numCache>
            </c:numRef>
          </c:cat>
          <c:val>
            <c:numRef>
              <c:f>'Taules comparativa'!$C$58:$E$58</c:f>
              <c:numCache>
                <c:formatCode>0.00%</c:formatCode>
                <c:ptCount val="3"/>
                <c:pt idx="0" formatCode="0%">
                  <c:v>0.64823348694316441</c:v>
                </c:pt>
                <c:pt idx="1">
                  <c:v>0.68439928272564254</c:v>
                </c:pt>
                <c:pt idx="2">
                  <c:v>0.63442069741282336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8666112"/>
        <c:axId val="218667648"/>
        <c:axId val="0"/>
      </c:bar3DChart>
      <c:catAx>
        <c:axId val="2186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8667648"/>
        <c:crosses val="autoZero"/>
        <c:auto val="1"/>
        <c:lblAlgn val="ctr"/>
        <c:lblOffset val="100"/>
        <c:noMultiLvlLbl val="0"/>
      </c:catAx>
      <c:valAx>
        <c:axId val="2186676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8666112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Dèficit</a:t>
            </a:r>
            <a:r>
              <a:rPr lang="en-US" sz="1400" baseline="0"/>
              <a:t> </a:t>
            </a:r>
            <a:r>
              <a:rPr lang="en-US" sz="1400"/>
              <a:t>entre nivell de</a:t>
            </a:r>
            <a:r>
              <a:rPr lang="en-US" sz="1400" baseline="0"/>
              <a:t> la formació</a:t>
            </a:r>
            <a:r>
              <a:rPr lang="en-US" sz="1400"/>
              <a:t> i utilitat per a la feina de</a:t>
            </a:r>
            <a:r>
              <a:rPr lang="en-US" sz="1400" baseline="0"/>
              <a:t> les competències instrumentals</a:t>
            </a:r>
            <a:endParaRPr lang="en-US" sz="1400"/>
          </a:p>
        </c:rich>
      </c:tx>
      <c:layout>
        <c:manualLayout>
          <c:xMode val="edge"/>
          <c:yMode val="edge"/>
          <c:x val="0.13599521288918337"/>
          <c:y val="3.70370370370370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82141732283471E-2"/>
          <c:y val="0.29046482939632612"/>
          <c:w val="0.94979964304462106"/>
          <c:h val="0.36166246719160228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'Taules comparativa'!$I$126:$K$126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'Taules comparativa'!$I$127:$K$127</c:f>
              <c:numCache>
                <c:formatCode>0.00</c:formatCode>
                <c:ptCount val="3"/>
                <c:pt idx="0">
                  <c:v>-1.1287964004499438</c:v>
                </c:pt>
                <c:pt idx="1">
                  <c:v>-2.4403203822495163</c:v>
                </c:pt>
                <c:pt idx="2">
                  <c:v>-0.6584130557118737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-15"/>
        <c:axId val="214497152"/>
        <c:axId val="214498688"/>
      </c:barChart>
      <c:catAx>
        <c:axId val="214497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14498688"/>
        <c:crossesAt val="0"/>
        <c:auto val="1"/>
        <c:lblAlgn val="ctr"/>
        <c:lblOffset val="100"/>
        <c:noMultiLvlLbl val="0"/>
      </c:catAx>
      <c:valAx>
        <c:axId val="214498688"/>
        <c:scaling>
          <c:orientation val="minMax"/>
          <c:max val="0.5"/>
          <c:min val="-4"/>
        </c:scaling>
        <c:delete val="0"/>
        <c:axPos val="t"/>
        <c:numFmt formatCode="#,##0.00" sourceLinked="0"/>
        <c:majorTickMark val="none"/>
        <c:minorTickMark val="none"/>
        <c:tickLblPos val="high"/>
        <c:spPr>
          <a:ln>
            <a:noFill/>
          </a:ln>
        </c:spPr>
        <c:crossAx val="214497152"/>
        <c:crosses val="autoZero"/>
        <c:crossBetween val="between"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u="sng"/>
            </a:pPr>
            <a:r>
              <a:rPr lang="en-US" sz="1600" b="1" u="sng" baseline="0"/>
              <a:t>Requisits per a la feina: Titulació especifica </a:t>
            </a:r>
            <a:endParaRPr lang="en-US" sz="1600" b="1" u="sng"/>
          </a:p>
        </c:rich>
      </c:tx>
      <c:layout>
        <c:manualLayout>
          <c:xMode val="edge"/>
          <c:yMode val="edge"/>
          <c:x val="0.16002449896846449"/>
          <c:y val="5.4722222222222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620841180163315E-2"/>
          <c:y val="0.14061989738719902"/>
          <c:w val="0.52793471437539263"/>
          <c:h val="0.6980376083126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comparativa'!$I$67</c:f>
              <c:strCache>
                <c:ptCount val="1"/>
                <c:pt idx="0">
                  <c:v>TOTAL UPC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2.3393751842027675E-3"/>
                  <c:y val="0.24749854566608509"/>
                </c:manualLayout>
              </c:layout>
              <c:spPr/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393751842027675E-3"/>
                  <c:y val="5.5410122164048912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'Taules comparativa'!$K$66:$L$66</c:f>
              <c:strCache>
                <c:ptCount val="2"/>
                <c:pt idx="0">
                  <c:v>Funcions pròpies</c:v>
                </c:pt>
                <c:pt idx="1">
                  <c:v>Funcions
no pròpies</c:v>
                </c:pt>
              </c:strCache>
            </c:strRef>
          </c:cat>
          <c:val>
            <c:numRef>
              <c:f>'Taules comparativa'!$K$67:$L$67</c:f>
              <c:numCache>
                <c:formatCode>0.00%</c:formatCode>
                <c:ptCount val="2"/>
                <c:pt idx="0">
                  <c:v>0.76543209876543206</c:v>
                </c:pt>
                <c:pt idx="1">
                  <c:v>6.1728395061728392E-2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25"/>
        <c:axId val="214414848"/>
        <c:axId val="214416384"/>
      </c:barChart>
      <c:catAx>
        <c:axId val="214414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214416384"/>
        <c:crosses val="autoZero"/>
        <c:auto val="1"/>
        <c:lblAlgn val="ctr"/>
        <c:lblOffset val="100"/>
        <c:noMultiLvlLbl val="0"/>
      </c:catAx>
      <c:valAx>
        <c:axId val="214416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4414848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836698804609265E-2"/>
          <c:y val="0.12500749905811831"/>
          <c:w val="0.62908710045448923"/>
          <c:h val="0.85800981399064602"/>
        </c:manualLayout>
      </c:layout>
      <c:pie3DChart>
        <c:varyColors val="1"/>
        <c:ser>
          <c:idx val="0"/>
          <c:order val="0"/>
          <c:tx>
            <c:strRef>
              <c:f>Gràfics!$E$15</c:f>
              <c:strCache>
                <c:ptCount val="1"/>
                <c:pt idx="0">
                  <c:v>TOTAL UPC</c:v>
                </c:pt>
              </c:strCache>
            </c:strRef>
          </c:tx>
          <c:explosion val="2"/>
          <c:dPt>
            <c:idx val="0"/>
            <c:bubble3D val="0"/>
            <c:explosion val="9"/>
          </c:dPt>
          <c:dPt>
            <c:idx val="1"/>
            <c:bubble3D val="0"/>
            <c:explosion val="9"/>
          </c:dPt>
          <c:dLbls>
            <c:dLbl>
              <c:idx val="0"/>
              <c:layout>
                <c:manualLayout>
                  <c:x val="-0.13897923563574671"/>
                  <c:y val="-0.2412255020769392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Gràfics!$C$16:$D$17</c:f>
              <c:strCache>
                <c:ptCount val="2"/>
                <c:pt idx="0">
                  <c:v>Població</c:v>
                </c:pt>
                <c:pt idx="1">
                  <c:v>Total Mostra</c:v>
                </c:pt>
              </c:strCache>
            </c:strRef>
          </c:cat>
          <c:val>
            <c:numRef>
              <c:f>Gràfics!$E$16:$E$17</c:f>
              <c:numCache>
                <c:formatCode>0</c:formatCode>
                <c:ptCount val="2"/>
                <c:pt idx="0" formatCode="General">
                  <c:v>3736</c:v>
                </c:pt>
                <c:pt idx="1">
                  <c:v>1789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65955629518475567"/>
          <c:y val="0.30918931371823088"/>
          <c:w val="0.34044370481524538"/>
          <c:h val="0.50630266827931758"/>
        </c:manualLayout>
      </c:layout>
      <c:overlay val="0"/>
      <c:txPr>
        <a:bodyPr/>
        <a:lstStyle/>
        <a:p>
          <a:pPr>
            <a:defRPr>
              <a:latin typeface="Arial Rounded MT Bold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426481481481505E-2"/>
          <c:y val="9.7246645440099228E-2"/>
          <c:w val="0.88411055555555551"/>
          <c:h val="0.825434824292429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Gràfics!$E$39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Gràfics!$D$41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Gràfics!$F$41</c:f>
              <c:numCache>
                <c:formatCode>0.00%</c:formatCode>
                <c:ptCount val="1"/>
                <c:pt idx="0">
                  <c:v>0.27166014533258803</c:v>
                </c:pt>
              </c:numCache>
            </c:numRef>
          </c:val>
        </c:ser>
        <c:ser>
          <c:idx val="3"/>
          <c:order val="1"/>
          <c:tx>
            <c:strRef>
              <c:f>Gràfics!$G$39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Gràfics!$D$41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Gràfics!$H$41</c:f>
              <c:numCache>
                <c:formatCode>0.00%</c:formatCode>
                <c:ptCount val="1"/>
                <c:pt idx="0">
                  <c:v>0.72833985466741191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4338304"/>
        <c:axId val="204339840"/>
        <c:axId val="0"/>
      </c:bar3DChart>
      <c:catAx>
        <c:axId val="20433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es-ES"/>
          </a:p>
        </c:txPr>
        <c:crossAx val="204339840"/>
        <c:crosses val="autoZero"/>
        <c:auto val="1"/>
        <c:lblAlgn val="ctr"/>
        <c:lblOffset val="100"/>
        <c:noMultiLvlLbl val="0"/>
      </c:catAx>
      <c:valAx>
        <c:axId val="2043398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4338304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Gràfics!$J$62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1.168948225028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Gràfics!$D$64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Gràfics!$K$64</c:f>
              <c:numCache>
                <c:formatCode>#,##0</c:formatCode>
                <c:ptCount val="1"/>
                <c:pt idx="0">
                  <c:v>6.1486864169927333E-3</c:v>
                </c:pt>
              </c:numCache>
            </c:numRef>
          </c:val>
        </c:ser>
        <c:ser>
          <c:idx val="0"/>
          <c:order val="1"/>
          <c:tx>
            <c:strRef>
              <c:f>Gràfics!$H$62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Gràfics!$D$64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Gràfics!$I$64</c:f>
              <c:numCache>
                <c:formatCode>#,##0</c:formatCode>
                <c:ptCount val="1"/>
                <c:pt idx="0">
                  <c:v>0.11682504192286193</c:v>
                </c:pt>
              </c:numCache>
            </c:numRef>
          </c:val>
        </c:ser>
        <c:ser>
          <c:idx val="1"/>
          <c:order val="2"/>
          <c:tx>
            <c:strRef>
              <c:f>Gràfics!$F$62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Gràfics!$D$64</c:f>
              <c:strCache>
                <c:ptCount val="1"/>
                <c:pt idx="0">
                  <c:v>TOTAL UPC</c:v>
                </c:pt>
              </c:strCache>
            </c:strRef>
          </c:cat>
          <c:val>
            <c:numRef>
              <c:f>Gràfics!$G$64</c:f>
              <c:numCache>
                <c:formatCode>#,##0</c:formatCode>
                <c:ptCount val="1"/>
                <c:pt idx="0">
                  <c:v>0.87702627166014535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5418368"/>
        <c:axId val="215419904"/>
        <c:axId val="0"/>
      </c:bar3DChart>
      <c:catAx>
        <c:axId val="215418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5419904"/>
        <c:crosses val="autoZero"/>
        <c:auto val="1"/>
        <c:lblAlgn val="ctr"/>
        <c:lblOffset val="100"/>
        <c:noMultiLvlLbl val="0"/>
      </c:catAx>
      <c:valAx>
        <c:axId val="21541990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5418368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Taules!C59"/><Relationship Id="rId18" Type="http://schemas.openxmlformats.org/officeDocument/2006/relationships/hyperlink" Target="#Taules!C88"/><Relationship Id="rId26" Type="http://schemas.openxmlformats.org/officeDocument/2006/relationships/hyperlink" Target="#Gr&#224;fics!C313"/><Relationship Id="rId39" Type="http://schemas.openxmlformats.org/officeDocument/2006/relationships/hyperlink" Target="#Taules!C221"/><Relationship Id="rId21" Type="http://schemas.openxmlformats.org/officeDocument/2006/relationships/hyperlink" Target="#Gr&#224;fics!C206"/><Relationship Id="rId34" Type="http://schemas.openxmlformats.org/officeDocument/2006/relationships/hyperlink" Target="#Gr&#224;fics!C450"/><Relationship Id="rId42" Type="http://schemas.openxmlformats.org/officeDocument/2006/relationships/hyperlink" Target="#Gr&#224;fics!C549"/><Relationship Id="rId47" Type="http://schemas.openxmlformats.org/officeDocument/2006/relationships/hyperlink" Target="#Taules!C312"/><Relationship Id="rId50" Type="http://schemas.openxmlformats.org/officeDocument/2006/relationships/hyperlink" Target="#Gr&#224;fics!C751"/><Relationship Id="rId55" Type="http://schemas.openxmlformats.org/officeDocument/2006/relationships/hyperlink" Target="#Taules!C363"/><Relationship Id="rId63" Type="http://schemas.openxmlformats.org/officeDocument/2006/relationships/image" Target="../media/image4.png"/><Relationship Id="rId68" Type="http://schemas.openxmlformats.org/officeDocument/2006/relationships/hyperlink" Target="#Comparativa!C197"/><Relationship Id="rId7" Type="http://schemas.openxmlformats.org/officeDocument/2006/relationships/hyperlink" Target="#Gr&#224;fics!C33"/><Relationship Id="rId71" Type="http://schemas.openxmlformats.org/officeDocument/2006/relationships/hyperlink" Target="#Gr&#224;fics!C605"/><Relationship Id="rId2" Type="http://schemas.openxmlformats.org/officeDocument/2006/relationships/image" Target="../media/image2.gif"/><Relationship Id="rId16" Type="http://schemas.openxmlformats.org/officeDocument/2006/relationships/hyperlink" Target="#Taules!C79"/><Relationship Id="rId29" Type="http://schemas.openxmlformats.org/officeDocument/2006/relationships/hyperlink" Target="#Gr&#224;fics!C351"/><Relationship Id="rId11" Type="http://schemas.openxmlformats.org/officeDocument/2006/relationships/hyperlink" Target="#Taules!C50"/><Relationship Id="rId24" Type="http://schemas.openxmlformats.org/officeDocument/2006/relationships/hyperlink" Target="#Taules!C113"/><Relationship Id="rId32" Type="http://schemas.openxmlformats.org/officeDocument/2006/relationships/hyperlink" Target="#Taules!C165"/><Relationship Id="rId37" Type="http://schemas.openxmlformats.org/officeDocument/2006/relationships/hyperlink" Target="#Taules!C210"/><Relationship Id="rId40" Type="http://schemas.openxmlformats.org/officeDocument/2006/relationships/hyperlink" Target="#Gr&#224;fics!C529"/><Relationship Id="rId45" Type="http://schemas.openxmlformats.org/officeDocument/2006/relationships/hyperlink" Target="#Taules!C284"/><Relationship Id="rId53" Type="http://schemas.openxmlformats.org/officeDocument/2006/relationships/hyperlink" Target="#Taules!C347"/><Relationship Id="rId58" Type="http://schemas.openxmlformats.org/officeDocument/2006/relationships/hyperlink" Target="#Gr&#224;fics!C878"/><Relationship Id="rId66" Type="http://schemas.openxmlformats.org/officeDocument/2006/relationships/hyperlink" Target="#Comparativa!C128"/><Relationship Id="rId74" Type="http://schemas.openxmlformats.org/officeDocument/2006/relationships/hyperlink" Target="#Gr&#224;fics!C690"/><Relationship Id="rId5" Type="http://schemas.openxmlformats.org/officeDocument/2006/relationships/hyperlink" Target="#Gr&#224;fics!C12"/><Relationship Id="rId15" Type="http://schemas.openxmlformats.org/officeDocument/2006/relationships/hyperlink" Target="#Taules!C71"/><Relationship Id="rId23" Type="http://schemas.openxmlformats.org/officeDocument/2006/relationships/hyperlink" Target="#Gr&#224;fics!C232"/><Relationship Id="rId28" Type="http://schemas.openxmlformats.org/officeDocument/2006/relationships/hyperlink" Target="#Taules!C140"/><Relationship Id="rId36" Type="http://schemas.openxmlformats.org/officeDocument/2006/relationships/hyperlink" Target="#Gr&#224;fics!C479"/><Relationship Id="rId49" Type="http://schemas.openxmlformats.org/officeDocument/2006/relationships/hyperlink" Target="#Taules!C327"/><Relationship Id="rId57" Type="http://schemas.openxmlformats.org/officeDocument/2006/relationships/hyperlink" Target="#Taules!C372"/><Relationship Id="rId61" Type="http://schemas.openxmlformats.org/officeDocument/2006/relationships/hyperlink" Target="#Taules!C251"/><Relationship Id="rId10" Type="http://schemas.openxmlformats.org/officeDocument/2006/relationships/hyperlink" Target="#Gr&#224;fics!C59"/><Relationship Id="rId19" Type="http://schemas.openxmlformats.org/officeDocument/2006/relationships/hyperlink" Target="#Gr&#224;fics!C176"/><Relationship Id="rId31" Type="http://schemas.openxmlformats.org/officeDocument/2006/relationships/hyperlink" Target="#Gr&#224;fics!C385"/><Relationship Id="rId44" Type="http://schemas.openxmlformats.org/officeDocument/2006/relationships/hyperlink" Target="#Taules!C275"/><Relationship Id="rId52" Type="http://schemas.openxmlformats.org/officeDocument/2006/relationships/hyperlink" Target="#Gr&#224;fics!C779"/><Relationship Id="rId60" Type="http://schemas.openxmlformats.org/officeDocument/2006/relationships/hyperlink" Target="#Gr&#224;fics!C905"/><Relationship Id="rId65" Type="http://schemas.openxmlformats.org/officeDocument/2006/relationships/hyperlink" Target="#Comparativa!C94"/><Relationship Id="rId73" Type="http://schemas.openxmlformats.org/officeDocument/2006/relationships/hyperlink" Target="#Gr&#224;fics!C659"/><Relationship Id="rId4" Type="http://schemas.openxmlformats.org/officeDocument/2006/relationships/hyperlink" Target="#Taules!c12"/><Relationship Id="rId9" Type="http://schemas.openxmlformats.org/officeDocument/2006/relationships/hyperlink" Target="#Taules!C32"/><Relationship Id="rId14" Type="http://schemas.openxmlformats.org/officeDocument/2006/relationships/hyperlink" Target="#Gr&#224;fics!C118"/><Relationship Id="rId22" Type="http://schemas.openxmlformats.org/officeDocument/2006/relationships/hyperlink" Target="#Taules!C104"/><Relationship Id="rId27" Type="http://schemas.openxmlformats.org/officeDocument/2006/relationships/hyperlink" Target="#Taules!C131"/><Relationship Id="rId30" Type="http://schemas.openxmlformats.org/officeDocument/2006/relationships/hyperlink" Target="#Taules!C149"/><Relationship Id="rId35" Type="http://schemas.openxmlformats.org/officeDocument/2006/relationships/hyperlink" Target="#Taules!C199"/><Relationship Id="rId43" Type="http://schemas.openxmlformats.org/officeDocument/2006/relationships/hyperlink" Target="#Taules!C266"/><Relationship Id="rId48" Type="http://schemas.openxmlformats.org/officeDocument/2006/relationships/hyperlink" Target="#Gr&#224;fics!C718"/><Relationship Id="rId56" Type="http://schemas.openxmlformats.org/officeDocument/2006/relationships/hyperlink" Target="#Gr&#224;fics!C848"/><Relationship Id="rId64" Type="http://schemas.openxmlformats.org/officeDocument/2006/relationships/hyperlink" Target="#Comparativa!C55"/><Relationship Id="rId69" Type="http://schemas.openxmlformats.org/officeDocument/2006/relationships/hyperlink" Target="#Comparativa!C239"/><Relationship Id="rId8" Type="http://schemas.openxmlformats.org/officeDocument/2006/relationships/hyperlink" Target="#Taules!C23"/><Relationship Id="rId51" Type="http://schemas.openxmlformats.org/officeDocument/2006/relationships/hyperlink" Target="#Taules!C337"/><Relationship Id="rId72" Type="http://schemas.openxmlformats.org/officeDocument/2006/relationships/hyperlink" Target="#Gr&#224;fics!C636"/><Relationship Id="rId3" Type="http://schemas.openxmlformats.org/officeDocument/2006/relationships/hyperlink" Target="#Taules!C122"/><Relationship Id="rId12" Type="http://schemas.openxmlformats.org/officeDocument/2006/relationships/hyperlink" Target="#Gr&#224;fics!C91"/><Relationship Id="rId17" Type="http://schemas.openxmlformats.org/officeDocument/2006/relationships/hyperlink" Target="#Gr&#224;fics!C144"/><Relationship Id="rId25" Type="http://schemas.openxmlformats.org/officeDocument/2006/relationships/hyperlink" Target="#Gr&#224;fics!C259"/><Relationship Id="rId33" Type="http://schemas.openxmlformats.org/officeDocument/2006/relationships/hyperlink" Target="#Gr&#224;fics!C419"/><Relationship Id="rId38" Type="http://schemas.openxmlformats.org/officeDocument/2006/relationships/hyperlink" Target="#Gr&#224;fics!C502"/><Relationship Id="rId46" Type="http://schemas.openxmlformats.org/officeDocument/2006/relationships/hyperlink" Target="#Taules!C293"/><Relationship Id="rId59" Type="http://schemas.openxmlformats.org/officeDocument/2006/relationships/hyperlink" Target="#Taules!C380"/><Relationship Id="rId67" Type="http://schemas.openxmlformats.org/officeDocument/2006/relationships/hyperlink" Target="#Comparativa!C163"/><Relationship Id="rId20" Type="http://schemas.openxmlformats.org/officeDocument/2006/relationships/hyperlink" Target="#Taules!C96"/><Relationship Id="rId41" Type="http://schemas.openxmlformats.org/officeDocument/2006/relationships/hyperlink" Target="#Taules!C240"/><Relationship Id="rId54" Type="http://schemas.openxmlformats.org/officeDocument/2006/relationships/hyperlink" Target="#Gr&#224;fics!C812"/><Relationship Id="rId62" Type="http://schemas.openxmlformats.org/officeDocument/2006/relationships/hyperlink" Target="#Comparativa!C13"/><Relationship Id="rId70" Type="http://schemas.openxmlformats.org/officeDocument/2006/relationships/hyperlink" Target="#Comparativa!C278"/><Relationship Id="rId1" Type="http://schemas.openxmlformats.org/officeDocument/2006/relationships/hyperlink" Target="#Taules!C184"/><Relationship Id="rId6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3" Type="http://schemas.openxmlformats.org/officeDocument/2006/relationships/hyperlink" Target="#Index!B19"/><Relationship Id="rId7" Type="http://schemas.openxmlformats.org/officeDocument/2006/relationships/hyperlink" Target="#Index!B44"/><Relationship Id="rId2" Type="http://schemas.openxmlformats.org/officeDocument/2006/relationships/hyperlink" Target="#Index!B12"/><Relationship Id="rId1" Type="http://schemas.openxmlformats.org/officeDocument/2006/relationships/hyperlink" Target="#Index!A1"/><Relationship Id="rId6" Type="http://schemas.openxmlformats.org/officeDocument/2006/relationships/hyperlink" Target="#Index!B41"/><Relationship Id="rId5" Type="http://schemas.openxmlformats.org/officeDocument/2006/relationships/hyperlink" Target="#Index!B35"/><Relationship Id="rId10" Type="http://schemas.openxmlformats.org/officeDocument/2006/relationships/hyperlink" Target="#Index!B58"/><Relationship Id="rId4" Type="http://schemas.openxmlformats.org/officeDocument/2006/relationships/hyperlink" Target="#Index!B33"/><Relationship Id="rId9" Type="http://schemas.openxmlformats.org/officeDocument/2006/relationships/hyperlink" Target="#Index!B52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hyperlink" Target="#Index!B19"/><Relationship Id="rId26" Type="http://schemas.openxmlformats.org/officeDocument/2006/relationships/hyperlink" Target="#Index!B52"/><Relationship Id="rId39" Type="http://schemas.openxmlformats.org/officeDocument/2006/relationships/hyperlink" Target="#Index!B44"/><Relationship Id="rId3" Type="http://schemas.openxmlformats.org/officeDocument/2006/relationships/chart" Target="../charts/chart8.xml"/><Relationship Id="rId21" Type="http://schemas.openxmlformats.org/officeDocument/2006/relationships/chart" Target="../charts/chart23.xml"/><Relationship Id="rId34" Type="http://schemas.openxmlformats.org/officeDocument/2006/relationships/chart" Target="../charts/chart33.xml"/><Relationship Id="rId42" Type="http://schemas.openxmlformats.org/officeDocument/2006/relationships/chart" Target="../charts/chart39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hyperlink" Target="#Index!B50"/><Relationship Id="rId33" Type="http://schemas.openxmlformats.org/officeDocument/2006/relationships/chart" Target="../charts/chart32.xml"/><Relationship Id="rId38" Type="http://schemas.openxmlformats.org/officeDocument/2006/relationships/chart" Target="../charts/chart36.xml"/><Relationship Id="rId2" Type="http://schemas.openxmlformats.org/officeDocument/2006/relationships/chart" Target="../charts/chart7.xml"/><Relationship Id="rId16" Type="http://schemas.openxmlformats.org/officeDocument/2006/relationships/chart" Target="../charts/chart20.xml"/><Relationship Id="rId20" Type="http://schemas.openxmlformats.org/officeDocument/2006/relationships/hyperlink" Target="#Index!B35"/><Relationship Id="rId29" Type="http://schemas.openxmlformats.org/officeDocument/2006/relationships/chart" Target="../charts/chart29.xml"/><Relationship Id="rId41" Type="http://schemas.openxmlformats.org/officeDocument/2006/relationships/chart" Target="../charts/chart38.xml"/><Relationship Id="rId1" Type="http://schemas.openxmlformats.org/officeDocument/2006/relationships/hyperlink" Target="#Index!A1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6.xml"/><Relationship Id="rId32" Type="http://schemas.openxmlformats.org/officeDocument/2006/relationships/chart" Target="../charts/chart31.xml"/><Relationship Id="rId37" Type="http://schemas.openxmlformats.org/officeDocument/2006/relationships/chart" Target="../charts/chart35.xml"/><Relationship Id="rId40" Type="http://schemas.openxmlformats.org/officeDocument/2006/relationships/chart" Target="../charts/chart37.xml"/><Relationship Id="rId5" Type="http://schemas.openxmlformats.org/officeDocument/2006/relationships/hyperlink" Target="#Index!B12"/><Relationship Id="rId15" Type="http://schemas.openxmlformats.org/officeDocument/2006/relationships/chart" Target="../charts/chart19.xml"/><Relationship Id="rId23" Type="http://schemas.openxmlformats.org/officeDocument/2006/relationships/chart" Target="../charts/chart25.xml"/><Relationship Id="rId28" Type="http://schemas.openxmlformats.org/officeDocument/2006/relationships/chart" Target="../charts/chart28.xml"/><Relationship Id="rId36" Type="http://schemas.openxmlformats.org/officeDocument/2006/relationships/chart" Target="../charts/chart34.xml"/><Relationship Id="rId10" Type="http://schemas.openxmlformats.org/officeDocument/2006/relationships/chart" Target="../charts/chart14.xml"/><Relationship Id="rId19" Type="http://schemas.openxmlformats.org/officeDocument/2006/relationships/chart" Target="../charts/chart22.xml"/><Relationship Id="rId31" Type="http://schemas.openxmlformats.org/officeDocument/2006/relationships/chart" Target="../charts/chart30.xml"/><Relationship Id="rId4" Type="http://schemas.openxmlformats.org/officeDocument/2006/relationships/chart" Target="../charts/chart9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4.xml"/><Relationship Id="rId27" Type="http://schemas.openxmlformats.org/officeDocument/2006/relationships/chart" Target="../charts/chart27.xml"/><Relationship Id="rId30" Type="http://schemas.openxmlformats.org/officeDocument/2006/relationships/hyperlink" Target="#Index!B58"/><Relationship Id="rId35" Type="http://schemas.openxmlformats.org/officeDocument/2006/relationships/hyperlink" Target="#Index!B33"/><Relationship Id="rId43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13" Type="http://schemas.openxmlformats.org/officeDocument/2006/relationships/image" Target="../media/image5.png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8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7.xml"/><Relationship Id="rId5" Type="http://schemas.openxmlformats.org/officeDocument/2006/relationships/chart" Target="../charts/chart43.xml"/><Relationship Id="rId10" Type="http://schemas.openxmlformats.org/officeDocument/2006/relationships/hyperlink" Target="#Index!B61"/><Relationship Id="rId4" Type="http://schemas.openxmlformats.org/officeDocument/2006/relationships/chart" Target="../charts/chart42.xml"/><Relationship Id="rId9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76200</xdr:rowOff>
    </xdr:from>
    <xdr:to>
      <xdr:col>9</xdr:col>
      <xdr:colOff>541433</xdr:colOff>
      <xdr:row>26</xdr:row>
      <xdr:rowOff>85725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15</xdr:row>
      <xdr:rowOff>76200</xdr:rowOff>
    </xdr:from>
    <xdr:to>
      <xdr:col>8</xdr:col>
      <xdr:colOff>152400</xdr:colOff>
      <xdr:row>23</xdr:row>
      <xdr:rowOff>66676</xdr:rowOff>
    </xdr:to>
    <xdr:sp macro="" textlink="">
      <xdr:nvSpPr>
        <xdr:cNvPr id="5" name="Crida de fletxa a l'esquerra 4"/>
        <xdr:cNvSpPr/>
      </xdr:nvSpPr>
      <xdr:spPr>
        <a:xfrm>
          <a:off x="3124200" y="3914775"/>
          <a:ext cx="1609725" cy="1514476"/>
        </a:xfrm>
        <a:prstGeom prst="leftArrowCallout">
          <a:avLst/>
        </a:prstGeom>
        <a:solidFill>
          <a:srgbClr val="31859E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Gairebé </a:t>
          </a:r>
          <a:r>
            <a:rPr lang="es-ES" sz="1400" b="1" baseline="0">
              <a:solidFill>
                <a:sysClr val="windowText" lastClr="000000"/>
              </a:solidFill>
            </a:rPr>
            <a:t>9</a:t>
          </a:r>
          <a:r>
            <a:rPr lang="es-ES" sz="1400" b="1">
              <a:solidFill>
                <a:sysClr val="windowText" lastClr="000000"/>
              </a:solidFill>
            </a:rPr>
            <a:t> de</a:t>
          </a:r>
          <a:r>
            <a:rPr lang="es-ES" sz="1400" b="1" baseline="0">
              <a:solidFill>
                <a:sysClr val="windowText" lastClr="000000"/>
              </a:solidFill>
            </a:rPr>
            <a:t> cada 10 </a:t>
          </a:r>
          <a:r>
            <a:rPr lang="es-ES" sz="1100" b="1" baseline="0">
              <a:solidFill>
                <a:sysClr val="windowText" lastClr="000000"/>
              </a:solidFill>
            </a:rPr>
            <a:t>titulats de la </a:t>
          </a:r>
          <a:r>
            <a:rPr lang="es-ES" sz="1400" b="1" baseline="0">
              <a:solidFill>
                <a:sysClr val="windowText" lastClr="000000"/>
              </a:solidFill>
            </a:rPr>
            <a:t>UPC</a:t>
          </a:r>
          <a:r>
            <a:rPr lang="es-ES" sz="1100" b="1" baseline="0">
              <a:solidFill>
                <a:sysClr val="windowText" lastClr="000000"/>
              </a:solidFill>
            </a:rPr>
            <a:t> estan en situació activa</a:t>
          </a:r>
        </a:p>
      </xdr:txBody>
    </xdr:sp>
    <xdr:clientData/>
  </xdr:twoCellAnchor>
  <xdr:twoCellAnchor>
    <xdr:from>
      <xdr:col>9</xdr:col>
      <xdr:colOff>538694</xdr:colOff>
      <xdr:row>8</xdr:row>
      <xdr:rowOff>57151</xdr:rowOff>
    </xdr:from>
    <xdr:to>
      <xdr:col>18</xdr:col>
      <xdr:colOff>478994</xdr:colOff>
      <xdr:row>26</xdr:row>
      <xdr:rowOff>66151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529166</xdr:colOff>
      <xdr:row>26</xdr:row>
      <xdr:rowOff>48684</xdr:rowOff>
    </xdr:from>
    <xdr:to>
      <xdr:col>18</xdr:col>
      <xdr:colOff>469466</xdr:colOff>
      <xdr:row>44</xdr:row>
      <xdr:rowOff>57684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39</xdr:row>
      <xdr:rowOff>77257</xdr:rowOff>
    </xdr:from>
    <xdr:to>
      <xdr:col>16</xdr:col>
      <xdr:colOff>82550</xdr:colOff>
      <xdr:row>43</xdr:row>
      <xdr:rowOff>10583</xdr:rowOff>
    </xdr:to>
    <xdr:sp macro="" textlink="">
      <xdr:nvSpPr>
        <xdr:cNvPr id="8" name="Crida de fletxa cap amunt 7"/>
        <xdr:cNvSpPr/>
      </xdr:nvSpPr>
      <xdr:spPr>
        <a:xfrm>
          <a:off x="7937500" y="8512174"/>
          <a:ext cx="1670050" cy="695326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800" b="1"/>
            <a:t>Els contractes</a:t>
          </a:r>
          <a:r>
            <a:rPr lang="es-ES" sz="800" b="1" baseline="0"/>
            <a:t> fixos han disminuït  en 5 punts des de </a:t>
          </a:r>
          <a:r>
            <a:rPr lang="es-ES" sz="1000" b="1" baseline="0"/>
            <a:t>2008</a:t>
          </a:r>
          <a:endParaRPr lang="es-ES" sz="800" b="1"/>
        </a:p>
      </xdr:txBody>
    </xdr:sp>
    <xdr:clientData/>
  </xdr:twoCellAnchor>
  <xdr:twoCellAnchor>
    <xdr:from>
      <xdr:col>9</xdr:col>
      <xdr:colOff>539748</xdr:colOff>
      <xdr:row>44</xdr:row>
      <xdr:rowOff>38100</xdr:rowOff>
    </xdr:from>
    <xdr:to>
      <xdr:col>18</xdr:col>
      <xdr:colOff>480048</xdr:colOff>
      <xdr:row>62</xdr:row>
      <xdr:rowOff>47100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529167</xdr:colOff>
      <xdr:row>49</xdr:row>
      <xdr:rowOff>8467</xdr:rowOff>
    </xdr:from>
    <xdr:to>
      <xdr:col>18</xdr:col>
      <xdr:colOff>124882</xdr:colOff>
      <xdr:row>57</xdr:row>
      <xdr:rowOff>27517</xdr:rowOff>
    </xdr:to>
    <xdr:sp macro="" textlink="">
      <xdr:nvSpPr>
        <xdr:cNvPr id="10" name="Clau doble 9"/>
        <xdr:cNvSpPr/>
      </xdr:nvSpPr>
      <xdr:spPr>
        <a:xfrm>
          <a:off x="8826500" y="10348384"/>
          <a:ext cx="2051049" cy="1543050"/>
        </a:xfrm>
        <a:prstGeom prst="bracePair">
          <a:avLst>
            <a:gd name="adj" fmla="val 401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Els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titulats amb un sou anual brut de 30.000€, han disminuït respecte 2008 en un 4%</a:t>
          </a:r>
          <a:endParaRPr lang="es-ES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0</xdr:col>
      <xdr:colOff>283633</xdr:colOff>
      <xdr:row>44</xdr:row>
      <xdr:rowOff>39161</xdr:rowOff>
    </xdr:from>
    <xdr:to>
      <xdr:col>9</xdr:col>
      <xdr:colOff>520266</xdr:colOff>
      <xdr:row>62</xdr:row>
      <xdr:rowOff>48161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274109</xdr:colOff>
      <xdr:row>26</xdr:row>
      <xdr:rowOff>50800</xdr:rowOff>
    </xdr:from>
    <xdr:to>
      <xdr:col>9</xdr:col>
      <xdr:colOff>510742</xdr:colOff>
      <xdr:row>44</xdr:row>
      <xdr:rowOff>59800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0.66833</cdr:x>
      <cdr:y>0.2608</cdr:y>
    </cdr:from>
    <cdr:to>
      <cdr:x>0.9573</cdr:x>
      <cdr:y>0.78067</cdr:y>
    </cdr:to>
    <cdr:sp macro="" textlink="">
      <cdr:nvSpPr>
        <cdr:cNvPr id="2" name="Crida rectangular arrodonida 1"/>
        <cdr:cNvSpPr/>
      </cdr:nvSpPr>
      <cdr:spPr>
        <a:xfrm xmlns:a="http://schemas.openxmlformats.org/drawingml/2006/main">
          <a:off x="3652306" y="896630"/>
          <a:ext cx="1579147" cy="1787302"/>
        </a:xfrm>
        <a:prstGeom xmlns:a="http://schemas.openxmlformats.org/drawingml/2006/main" prst="wedgeRoundRectCallou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/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ysClr val="windowText" lastClr="000000"/>
              </a:solidFill>
            </a:rPr>
            <a:t>El nombre de titulats</a:t>
          </a:r>
          <a:r>
            <a:rPr lang="es-ES" sz="1200" b="1" baseline="0">
              <a:solidFill>
                <a:sysClr val="windowText" lastClr="000000"/>
              </a:solidFill>
            </a:rPr>
            <a:t> que troben feina abans d'acabar la carrera ha augmentat en 5 punts des de 2005</a:t>
          </a:r>
          <a:endParaRPr lang="es-ES" sz="12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0.1696</cdr:x>
      <cdr:y>0.7875</cdr:y>
    </cdr:from>
    <cdr:to>
      <cdr:x>0.82343</cdr:x>
      <cdr:y>0.945</cdr:y>
    </cdr:to>
    <cdr:sp macro="" textlink="">
      <cdr:nvSpPr>
        <cdr:cNvPr id="4" name="QuadreDeText 3"/>
        <cdr:cNvSpPr txBox="1"/>
      </cdr:nvSpPr>
      <cdr:spPr>
        <a:xfrm xmlns:a="http://schemas.openxmlformats.org/drawingml/2006/main">
          <a:off x="951493" y="2730963"/>
          <a:ext cx="3668131" cy="546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* La competència instrumental amb més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</a:t>
          </a:r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dèficit per desenvolupar a la feina és la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dels</a:t>
          </a:r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idiomes.   </a:t>
          </a:r>
          <a:endParaRPr lang="es-ES" sz="1200" b="1" cap="none" spc="0">
            <a:ln>
              <a:noFill/>
            </a:ln>
            <a:solidFill>
              <a:schemeClr val="tx1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0.64407</cdr:x>
      <cdr:y>0.26575</cdr:y>
    </cdr:from>
    <cdr:to>
      <cdr:x>0.93032</cdr:x>
      <cdr:y>0.83485</cdr:y>
    </cdr:to>
    <cdr:sp macro="" textlink="">
      <cdr:nvSpPr>
        <cdr:cNvPr id="3" name="QuadreDeText 1"/>
        <cdr:cNvSpPr txBox="1"/>
      </cdr:nvSpPr>
      <cdr:spPr>
        <a:xfrm xmlns:a="http://schemas.openxmlformats.org/drawingml/2006/main">
          <a:off x="3518340" y="913647"/>
          <a:ext cx="1563688" cy="19565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s-ES" sz="1050" b="1">
              <a:solidFill>
                <a:sysClr val="windowText" lastClr="000000"/>
              </a:solidFill>
            </a:rPr>
            <a:t>Més </a:t>
          </a:r>
          <a:r>
            <a:rPr lang="es-ES" sz="1050" b="1" baseline="0">
              <a:solidFill>
                <a:sysClr val="windowText" lastClr="000000"/>
              </a:solidFill>
            </a:rPr>
            <a:t>del </a:t>
          </a:r>
          <a:r>
            <a:rPr lang="es-ES" sz="1200" b="1" baseline="0">
              <a:solidFill>
                <a:sysClr val="windowText" lastClr="000000"/>
              </a:solidFill>
            </a:rPr>
            <a:t>75% </a:t>
          </a:r>
          <a:r>
            <a:rPr lang="es-ES" sz="1050" b="1" baseline="0">
              <a:solidFill>
                <a:sysClr val="windowText" lastClr="000000"/>
              </a:solidFill>
            </a:rPr>
            <a:t>dels titulats de la</a:t>
          </a:r>
          <a:r>
            <a:rPr lang="es-ES" sz="1200" b="1" baseline="0">
              <a:solidFill>
                <a:sysClr val="windowText" lastClr="000000"/>
              </a:solidFill>
            </a:rPr>
            <a:t> UPC </a:t>
          </a:r>
          <a:r>
            <a:rPr lang="es-ES" sz="1050" b="1" baseline="0">
              <a:solidFill>
                <a:sysClr val="windowText" lastClr="000000"/>
              </a:solidFill>
            </a:rPr>
            <a:t>afirmen que en el seu lloc de treball es requereix (o requeria) la seva titulació especifica i desenvolupar funcions pròpies de la seva formació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41</xdr:row>
      <xdr:rowOff>0</xdr:rowOff>
    </xdr:from>
    <xdr:to>
      <xdr:col>4</xdr:col>
      <xdr:colOff>476250</xdr:colOff>
      <xdr:row>41</xdr:row>
      <xdr:rowOff>171450</xdr:rowOff>
    </xdr:to>
    <xdr:pic>
      <xdr:nvPicPr>
        <xdr:cNvPr id="35" name="Imatge 34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3200" y="6219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171450</xdr:colOff>
      <xdr:row>34</xdr:row>
      <xdr:rowOff>171450</xdr:rowOff>
    </xdr:to>
    <xdr:pic>
      <xdr:nvPicPr>
        <xdr:cNvPr id="25" name="Imatge 24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4886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171450</xdr:colOff>
      <xdr:row>15</xdr:row>
      <xdr:rowOff>171450</xdr:rowOff>
    </xdr:to>
    <xdr:pic>
      <xdr:nvPicPr>
        <xdr:cNvPr id="2" name="Imatge 1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2573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15</xdr:row>
      <xdr:rowOff>28575</xdr:rowOff>
    </xdr:from>
    <xdr:to>
      <xdr:col>4</xdr:col>
      <xdr:colOff>352425</xdr:colOff>
      <xdr:row>15</xdr:row>
      <xdr:rowOff>171450</xdr:rowOff>
    </xdr:to>
    <xdr:pic>
      <xdr:nvPicPr>
        <xdr:cNvPr id="3" name="Imatge 2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47950" y="1285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171450</xdr:colOff>
      <xdr:row>16</xdr:row>
      <xdr:rowOff>171450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4478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16</xdr:row>
      <xdr:rowOff>19050</xdr:rowOff>
    </xdr:from>
    <xdr:to>
      <xdr:col>3</xdr:col>
      <xdr:colOff>333375</xdr:colOff>
      <xdr:row>16</xdr:row>
      <xdr:rowOff>161925</xdr:rowOff>
    </xdr:to>
    <xdr:pic>
      <xdr:nvPicPr>
        <xdr:cNvPr id="5" name="Imatge 4" descr="icono-grafico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19300" y="1466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17</xdr:row>
      <xdr:rowOff>9525</xdr:rowOff>
    </xdr:from>
    <xdr:to>
      <xdr:col>4</xdr:col>
      <xdr:colOff>57150</xdr:colOff>
      <xdr:row>17</xdr:row>
      <xdr:rowOff>180975</xdr:rowOff>
    </xdr:to>
    <xdr:pic>
      <xdr:nvPicPr>
        <xdr:cNvPr id="6" name="Imatge 5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647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18</xdr:row>
      <xdr:rowOff>19050</xdr:rowOff>
    </xdr:from>
    <xdr:to>
      <xdr:col>4</xdr:col>
      <xdr:colOff>371475</xdr:colOff>
      <xdr:row>19</xdr:row>
      <xdr:rowOff>0</xdr:rowOff>
    </xdr:to>
    <xdr:pic>
      <xdr:nvPicPr>
        <xdr:cNvPr id="7" name="Imatge 6" descr="icono-tabla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847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17</xdr:row>
      <xdr:rowOff>28575</xdr:rowOff>
    </xdr:from>
    <xdr:to>
      <xdr:col>4</xdr:col>
      <xdr:colOff>219075</xdr:colOff>
      <xdr:row>17</xdr:row>
      <xdr:rowOff>171450</xdr:rowOff>
    </xdr:to>
    <xdr:pic>
      <xdr:nvPicPr>
        <xdr:cNvPr id="8" name="Imatge 7" descr="icono-grafico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666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24</xdr:row>
      <xdr:rowOff>9525</xdr:rowOff>
    </xdr:from>
    <xdr:to>
      <xdr:col>5</xdr:col>
      <xdr:colOff>390525</xdr:colOff>
      <xdr:row>24</xdr:row>
      <xdr:rowOff>180975</xdr:rowOff>
    </xdr:to>
    <xdr:pic>
      <xdr:nvPicPr>
        <xdr:cNvPr id="9" name="Imatge 8" descr="icono-tabla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7075" y="299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24</xdr:row>
      <xdr:rowOff>28575</xdr:rowOff>
    </xdr:from>
    <xdr:to>
      <xdr:col>5</xdr:col>
      <xdr:colOff>581025</xdr:colOff>
      <xdr:row>24</xdr:row>
      <xdr:rowOff>171450</xdr:rowOff>
    </xdr:to>
    <xdr:pic>
      <xdr:nvPicPr>
        <xdr:cNvPr id="10" name="Imatge 9" descr="icono-grafico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86150" y="3009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25</xdr:row>
      <xdr:rowOff>28575</xdr:rowOff>
    </xdr:from>
    <xdr:to>
      <xdr:col>3</xdr:col>
      <xdr:colOff>295275</xdr:colOff>
      <xdr:row>26</xdr:row>
      <xdr:rowOff>9525</xdr:rowOff>
    </xdr:to>
    <xdr:pic>
      <xdr:nvPicPr>
        <xdr:cNvPr id="11" name="Imatge 10" descr="icono-tabla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3200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25</xdr:row>
      <xdr:rowOff>38100</xdr:rowOff>
    </xdr:from>
    <xdr:to>
      <xdr:col>3</xdr:col>
      <xdr:colOff>466725</xdr:colOff>
      <xdr:row>25</xdr:row>
      <xdr:rowOff>180975</xdr:rowOff>
    </xdr:to>
    <xdr:pic>
      <xdr:nvPicPr>
        <xdr:cNvPr id="12" name="Imatge 11" descr="icono-grafico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52650" y="3209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28</xdr:row>
      <xdr:rowOff>19050</xdr:rowOff>
    </xdr:from>
    <xdr:to>
      <xdr:col>3</xdr:col>
      <xdr:colOff>238125</xdr:colOff>
      <xdr:row>29</xdr:row>
      <xdr:rowOff>0</xdr:rowOff>
    </xdr:to>
    <xdr:pic>
      <xdr:nvPicPr>
        <xdr:cNvPr id="13" name="Imatge 12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3762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29</xdr:row>
      <xdr:rowOff>0</xdr:rowOff>
    </xdr:from>
    <xdr:to>
      <xdr:col>5</xdr:col>
      <xdr:colOff>142875</xdr:colOff>
      <xdr:row>29</xdr:row>
      <xdr:rowOff>171450</xdr:rowOff>
    </xdr:to>
    <xdr:pic>
      <xdr:nvPicPr>
        <xdr:cNvPr id="15" name="Imatge 14" descr="icono-tabla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933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29</xdr:row>
      <xdr:rowOff>9525</xdr:rowOff>
    </xdr:from>
    <xdr:to>
      <xdr:col>5</xdr:col>
      <xdr:colOff>304800</xdr:colOff>
      <xdr:row>29</xdr:row>
      <xdr:rowOff>152400</xdr:rowOff>
    </xdr:to>
    <xdr:pic>
      <xdr:nvPicPr>
        <xdr:cNvPr id="16" name="Imatge 15" descr="icono-grafico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9925" y="3943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209550</xdr:colOff>
      <xdr:row>30</xdr:row>
      <xdr:rowOff>171450</xdr:rowOff>
    </xdr:to>
    <xdr:pic>
      <xdr:nvPicPr>
        <xdr:cNvPr id="17" name="Imatge 16" descr="icono-tabla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0" y="4124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30</xdr:row>
      <xdr:rowOff>9525</xdr:rowOff>
    </xdr:from>
    <xdr:to>
      <xdr:col>4</xdr:col>
      <xdr:colOff>371475</xdr:colOff>
      <xdr:row>30</xdr:row>
      <xdr:rowOff>152400</xdr:rowOff>
    </xdr:to>
    <xdr:pic>
      <xdr:nvPicPr>
        <xdr:cNvPr id="18" name="Imatge 17" descr="icono-grafico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7000" y="4133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31</xdr:row>
      <xdr:rowOff>19050</xdr:rowOff>
    </xdr:from>
    <xdr:to>
      <xdr:col>4</xdr:col>
      <xdr:colOff>342900</xdr:colOff>
      <xdr:row>32</xdr:row>
      <xdr:rowOff>0</xdr:rowOff>
    </xdr:to>
    <xdr:pic>
      <xdr:nvPicPr>
        <xdr:cNvPr id="19" name="Imatge 18" descr="icono-tabla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9850" y="4333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31</xdr:row>
      <xdr:rowOff>28575</xdr:rowOff>
    </xdr:from>
    <xdr:to>
      <xdr:col>4</xdr:col>
      <xdr:colOff>504825</xdr:colOff>
      <xdr:row>31</xdr:row>
      <xdr:rowOff>171450</xdr:rowOff>
    </xdr:to>
    <xdr:pic>
      <xdr:nvPicPr>
        <xdr:cNvPr id="20" name="Imatge 19" descr="icono-grafico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00350" y="4343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32</xdr:row>
      <xdr:rowOff>9525</xdr:rowOff>
    </xdr:from>
    <xdr:to>
      <xdr:col>4</xdr:col>
      <xdr:colOff>123825</xdr:colOff>
      <xdr:row>32</xdr:row>
      <xdr:rowOff>180975</xdr:rowOff>
    </xdr:to>
    <xdr:pic>
      <xdr:nvPicPr>
        <xdr:cNvPr id="21" name="Imatge 20" descr="icono-tabla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9077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32</xdr:row>
      <xdr:rowOff>19050</xdr:rowOff>
    </xdr:from>
    <xdr:to>
      <xdr:col>4</xdr:col>
      <xdr:colOff>285750</xdr:colOff>
      <xdr:row>32</xdr:row>
      <xdr:rowOff>161925</xdr:rowOff>
    </xdr:to>
    <xdr:pic>
      <xdr:nvPicPr>
        <xdr:cNvPr id="22" name="Imatge 21" descr="icono-grafico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1275" y="4524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33</xdr:row>
      <xdr:rowOff>0</xdr:rowOff>
    </xdr:from>
    <xdr:to>
      <xdr:col>4</xdr:col>
      <xdr:colOff>66675</xdr:colOff>
      <xdr:row>33</xdr:row>
      <xdr:rowOff>171450</xdr:rowOff>
    </xdr:to>
    <xdr:pic>
      <xdr:nvPicPr>
        <xdr:cNvPr id="23" name="Imatge 22" descr="icono-tabla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4695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33</xdr:row>
      <xdr:rowOff>9525</xdr:rowOff>
    </xdr:from>
    <xdr:to>
      <xdr:col>4</xdr:col>
      <xdr:colOff>228600</xdr:colOff>
      <xdr:row>33</xdr:row>
      <xdr:rowOff>152400</xdr:rowOff>
    </xdr:to>
    <xdr:pic>
      <xdr:nvPicPr>
        <xdr:cNvPr id="24" name="Imatge 23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24125" y="4705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34</xdr:row>
      <xdr:rowOff>9525</xdr:rowOff>
    </xdr:from>
    <xdr:to>
      <xdr:col>3</xdr:col>
      <xdr:colOff>333375</xdr:colOff>
      <xdr:row>34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19300" y="4895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35</xdr:row>
      <xdr:rowOff>19050</xdr:rowOff>
    </xdr:from>
    <xdr:to>
      <xdr:col>4</xdr:col>
      <xdr:colOff>390525</xdr:colOff>
      <xdr:row>36</xdr:row>
      <xdr:rowOff>0</xdr:rowOff>
    </xdr:to>
    <xdr:pic>
      <xdr:nvPicPr>
        <xdr:cNvPr id="27" name="Imatge 26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7475" y="5095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238125</xdr:colOff>
      <xdr:row>36</xdr:row>
      <xdr:rowOff>171450</xdr:rowOff>
    </xdr:to>
    <xdr:pic>
      <xdr:nvPicPr>
        <xdr:cNvPr id="29" name="Imatge 28" descr="icono-tabla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5267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</xdr:row>
      <xdr:rowOff>9525</xdr:rowOff>
    </xdr:from>
    <xdr:to>
      <xdr:col>3</xdr:col>
      <xdr:colOff>400050</xdr:colOff>
      <xdr:row>36</xdr:row>
      <xdr:rowOff>152400</xdr:rowOff>
    </xdr:to>
    <xdr:pic>
      <xdr:nvPicPr>
        <xdr:cNvPr id="30" name="Imatge 29" descr="icono-grafico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5276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37</xdr:row>
      <xdr:rowOff>28575</xdr:rowOff>
    </xdr:from>
    <xdr:to>
      <xdr:col>3</xdr:col>
      <xdr:colOff>114300</xdr:colOff>
      <xdr:row>38</xdr:row>
      <xdr:rowOff>9525</xdr:rowOff>
    </xdr:to>
    <xdr:pic>
      <xdr:nvPicPr>
        <xdr:cNvPr id="31" name="Imatge 30" descr="icono-tabla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650" y="5486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37</xdr:row>
      <xdr:rowOff>38100</xdr:rowOff>
    </xdr:from>
    <xdr:to>
      <xdr:col>3</xdr:col>
      <xdr:colOff>276225</xdr:colOff>
      <xdr:row>37</xdr:row>
      <xdr:rowOff>180975</xdr:rowOff>
    </xdr:to>
    <xdr:pic>
      <xdr:nvPicPr>
        <xdr:cNvPr id="32" name="Imatge 31" descr="icono-grafico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62150" y="5495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39</xdr:row>
      <xdr:rowOff>9525</xdr:rowOff>
    </xdr:from>
    <xdr:to>
      <xdr:col>4</xdr:col>
      <xdr:colOff>76200</xdr:colOff>
      <xdr:row>39</xdr:row>
      <xdr:rowOff>180975</xdr:rowOff>
    </xdr:to>
    <xdr:pic>
      <xdr:nvPicPr>
        <xdr:cNvPr id="33" name="Imatge 32" descr="icono-tabla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5848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39</xdr:row>
      <xdr:rowOff>19050</xdr:rowOff>
    </xdr:from>
    <xdr:to>
      <xdr:col>4</xdr:col>
      <xdr:colOff>238125</xdr:colOff>
      <xdr:row>39</xdr:row>
      <xdr:rowOff>161925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33650" y="5857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41</xdr:row>
      <xdr:rowOff>9525</xdr:rowOff>
    </xdr:from>
    <xdr:to>
      <xdr:col>5</xdr:col>
      <xdr:colOff>28575</xdr:colOff>
      <xdr:row>41</xdr:row>
      <xdr:rowOff>152400</xdr:rowOff>
    </xdr:to>
    <xdr:pic>
      <xdr:nvPicPr>
        <xdr:cNvPr id="36" name="Imatge 35" descr="icono-grafico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33700" y="6229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44</xdr:row>
      <xdr:rowOff>9525</xdr:rowOff>
    </xdr:from>
    <xdr:to>
      <xdr:col>3</xdr:col>
      <xdr:colOff>523875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44</xdr:row>
      <xdr:rowOff>19050</xdr:rowOff>
    </xdr:from>
    <xdr:to>
      <xdr:col>4</xdr:col>
      <xdr:colOff>76200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45</xdr:row>
      <xdr:rowOff>9525</xdr:rowOff>
    </xdr:from>
    <xdr:to>
      <xdr:col>3</xdr:col>
      <xdr:colOff>533400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0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45</xdr:row>
      <xdr:rowOff>19050</xdr:rowOff>
    </xdr:from>
    <xdr:to>
      <xdr:col>4</xdr:col>
      <xdr:colOff>85725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81250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46</xdr:row>
      <xdr:rowOff>9525</xdr:rowOff>
    </xdr:from>
    <xdr:to>
      <xdr:col>5</xdr:col>
      <xdr:colOff>9525</xdr:colOff>
      <xdr:row>46</xdr:row>
      <xdr:rowOff>180975</xdr:rowOff>
    </xdr:to>
    <xdr:pic>
      <xdr:nvPicPr>
        <xdr:cNvPr id="41" name="Imatge 40" descr="icono-tabla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6075" y="7181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46</xdr:row>
      <xdr:rowOff>19050</xdr:rowOff>
    </xdr:from>
    <xdr:to>
      <xdr:col>5</xdr:col>
      <xdr:colOff>171450</xdr:colOff>
      <xdr:row>46</xdr:row>
      <xdr:rowOff>161925</xdr:rowOff>
    </xdr:to>
    <xdr:pic>
      <xdr:nvPicPr>
        <xdr:cNvPr id="42" name="Imatge 41" descr="icono-grafico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76575" y="7191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47</xdr:row>
      <xdr:rowOff>19050</xdr:rowOff>
    </xdr:from>
    <xdr:to>
      <xdr:col>3</xdr:col>
      <xdr:colOff>342900</xdr:colOff>
      <xdr:row>48</xdr:row>
      <xdr:rowOff>0</xdr:rowOff>
    </xdr:to>
    <xdr:pic>
      <xdr:nvPicPr>
        <xdr:cNvPr id="43" name="Imatge 42" descr="icono-tabla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47</xdr:row>
      <xdr:rowOff>28575</xdr:rowOff>
    </xdr:from>
    <xdr:to>
      <xdr:col>3</xdr:col>
      <xdr:colOff>504825</xdr:colOff>
      <xdr:row>47</xdr:row>
      <xdr:rowOff>171450</xdr:rowOff>
    </xdr:to>
    <xdr:pic>
      <xdr:nvPicPr>
        <xdr:cNvPr id="44" name="Imatge 43" descr="icono-grafico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9075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53</xdr:row>
      <xdr:rowOff>19050</xdr:rowOff>
    </xdr:from>
    <xdr:to>
      <xdr:col>4</xdr:col>
      <xdr:colOff>466725</xdr:colOff>
      <xdr:row>54</xdr:row>
      <xdr:rowOff>0</xdr:rowOff>
    </xdr:to>
    <xdr:pic>
      <xdr:nvPicPr>
        <xdr:cNvPr id="45" name="Imatge 44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3675" y="8534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54</xdr:row>
      <xdr:rowOff>9525</xdr:rowOff>
    </xdr:from>
    <xdr:to>
      <xdr:col>4</xdr:col>
      <xdr:colOff>76200</xdr:colOff>
      <xdr:row>54</xdr:row>
      <xdr:rowOff>180975</xdr:rowOff>
    </xdr:to>
    <xdr:pic>
      <xdr:nvPicPr>
        <xdr:cNvPr id="47" name="Imatge 46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55</xdr:row>
      <xdr:rowOff>9525</xdr:rowOff>
    </xdr:from>
    <xdr:to>
      <xdr:col>5</xdr:col>
      <xdr:colOff>438150</xdr:colOff>
      <xdr:row>55</xdr:row>
      <xdr:rowOff>180975</xdr:rowOff>
    </xdr:to>
    <xdr:pic>
      <xdr:nvPicPr>
        <xdr:cNvPr id="49" name="Imatge 48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4700" y="8905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55</xdr:row>
      <xdr:rowOff>180975</xdr:rowOff>
    </xdr:from>
    <xdr:to>
      <xdr:col>5</xdr:col>
      <xdr:colOff>57150</xdr:colOff>
      <xdr:row>56</xdr:row>
      <xdr:rowOff>161925</xdr:rowOff>
    </xdr:to>
    <xdr:pic>
      <xdr:nvPicPr>
        <xdr:cNvPr id="51" name="Imatge 50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33700" y="9077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58</xdr:row>
      <xdr:rowOff>0</xdr:rowOff>
    </xdr:from>
    <xdr:to>
      <xdr:col>2</xdr:col>
      <xdr:colOff>400050</xdr:colOff>
      <xdr:row>58</xdr:row>
      <xdr:rowOff>171450</xdr:rowOff>
    </xdr:to>
    <xdr:pic>
      <xdr:nvPicPr>
        <xdr:cNvPr id="53" name="Imatge 52" descr="icono-tabla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" y="9467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58</xdr:row>
      <xdr:rowOff>9525</xdr:rowOff>
    </xdr:from>
    <xdr:to>
      <xdr:col>2</xdr:col>
      <xdr:colOff>561975</xdr:colOff>
      <xdr:row>58</xdr:row>
      <xdr:rowOff>152400</xdr:rowOff>
    </xdr:to>
    <xdr:pic>
      <xdr:nvPicPr>
        <xdr:cNvPr id="54" name="Imatge 53" descr="icono-grafico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38300" y="9477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62</xdr:row>
      <xdr:rowOff>9525</xdr:rowOff>
    </xdr:from>
    <xdr:to>
      <xdr:col>5</xdr:col>
      <xdr:colOff>333375</xdr:colOff>
      <xdr:row>62</xdr:row>
      <xdr:rowOff>180975</xdr:rowOff>
    </xdr:to>
    <xdr:pic>
      <xdr:nvPicPr>
        <xdr:cNvPr id="55" name="Imatge 54" descr="icono-tabla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992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62</xdr:row>
      <xdr:rowOff>19050</xdr:rowOff>
    </xdr:from>
    <xdr:to>
      <xdr:col>5</xdr:col>
      <xdr:colOff>495300</xdr:colOff>
      <xdr:row>62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0042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63</xdr:row>
      <xdr:rowOff>9525</xdr:rowOff>
    </xdr:from>
    <xdr:to>
      <xdr:col>4</xdr:col>
      <xdr:colOff>352425</xdr:colOff>
      <xdr:row>63</xdr:row>
      <xdr:rowOff>180975</xdr:rowOff>
    </xdr:to>
    <xdr:pic>
      <xdr:nvPicPr>
        <xdr:cNvPr id="57" name="Imatge 56" descr="icono-tabla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9375" y="1043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63</xdr:row>
      <xdr:rowOff>19050</xdr:rowOff>
    </xdr:from>
    <xdr:to>
      <xdr:col>4</xdr:col>
      <xdr:colOff>514350</xdr:colOff>
      <xdr:row>63</xdr:row>
      <xdr:rowOff>161925</xdr:rowOff>
    </xdr:to>
    <xdr:pic>
      <xdr:nvPicPr>
        <xdr:cNvPr id="58" name="Imatge 57" descr="icono-grafico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09875" y="10448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63</xdr:row>
      <xdr:rowOff>180975</xdr:rowOff>
    </xdr:from>
    <xdr:to>
      <xdr:col>3</xdr:col>
      <xdr:colOff>276225</xdr:colOff>
      <xdr:row>64</xdr:row>
      <xdr:rowOff>161925</xdr:rowOff>
    </xdr:to>
    <xdr:pic>
      <xdr:nvPicPr>
        <xdr:cNvPr id="59" name="Imatge 58" descr="icono-tabla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33575" y="1061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64</xdr:row>
      <xdr:rowOff>0</xdr:rowOff>
    </xdr:from>
    <xdr:to>
      <xdr:col>3</xdr:col>
      <xdr:colOff>438150</xdr:colOff>
      <xdr:row>64</xdr:row>
      <xdr:rowOff>142875</xdr:rowOff>
    </xdr:to>
    <xdr:pic>
      <xdr:nvPicPr>
        <xdr:cNvPr id="60" name="Imatge 59" descr="icono-grafico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24075" y="1062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68</xdr:row>
      <xdr:rowOff>9525</xdr:rowOff>
    </xdr:from>
    <xdr:to>
      <xdr:col>5</xdr:col>
      <xdr:colOff>19050</xdr:colOff>
      <xdr:row>68</xdr:row>
      <xdr:rowOff>180975</xdr:rowOff>
    </xdr:to>
    <xdr:pic>
      <xdr:nvPicPr>
        <xdr:cNvPr id="61" name="Imatge 60" descr="icono-tabla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956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68</xdr:row>
      <xdr:rowOff>19050</xdr:rowOff>
    </xdr:from>
    <xdr:to>
      <xdr:col>5</xdr:col>
      <xdr:colOff>180975</xdr:colOff>
      <xdr:row>68</xdr:row>
      <xdr:rowOff>161925</xdr:rowOff>
    </xdr:to>
    <xdr:pic>
      <xdr:nvPicPr>
        <xdr:cNvPr id="62" name="Imatge 61" descr="icono-grafico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86100" y="11410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68</xdr:row>
      <xdr:rowOff>180975</xdr:rowOff>
    </xdr:from>
    <xdr:to>
      <xdr:col>4</xdr:col>
      <xdr:colOff>285750</xdr:colOff>
      <xdr:row>69</xdr:row>
      <xdr:rowOff>161925</xdr:rowOff>
    </xdr:to>
    <xdr:pic>
      <xdr:nvPicPr>
        <xdr:cNvPr id="63" name="Imatge 62" descr="icono-tabla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700" y="11572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69</xdr:row>
      <xdr:rowOff>0</xdr:rowOff>
    </xdr:from>
    <xdr:to>
      <xdr:col>4</xdr:col>
      <xdr:colOff>447675</xdr:colOff>
      <xdr:row>69</xdr:row>
      <xdr:rowOff>142875</xdr:rowOff>
    </xdr:to>
    <xdr:pic>
      <xdr:nvPicPr>
        <xdr:cNvPr id="64" name="Imatge 63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43200" y="11582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70</xdr:row>
      <xdr:rowOff>9525</xdr:rowOff>
    </xdr:from>
    <xdr:to>
      <xdr:col>6</xdr:col>
      <xdr:colOff>66675</xdr:colOff>
      <xdr:row>70</xdr:row>
      <xdr:rowOff>180975</xdr:rowOff>
    </xdr:to>
    <xdr:pic>
      <xdr:nvPicPr>
        <xdr:cNvPr id="65" name="Imatge 64" descr="icono-tabla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52825" y="11782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70</xdr:row>
      <xdr:rowOff>19050</xdr:rowOff>
    </xdr:from>
    <xdr:to>
      <xdr:col>6</xdr:col>
      <xdr:colOff>228600</xdr:colOff>
      <xdr:row>70</xdr:row>
      <xdr:rowOff>161925</xdr:rowOff>
    </xdr:to>
    <xdr:pic>
      <xdr:nvPicPr>
        <xdr:cNvPr id="66" name="Imatge 65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743325" y="11791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50</xdr:row>
      <xdr:rowOff>19050</xdr:rowOff>
    </xdr:from>
    <xdr:to>
      <xdr:col>1</xdr:col>
      <xdr:colOff>342900</xdr:colOff>
      <xdr:row>51</xdr:row>
      <xdr:rowOff>0</xdr:rowOff>
    </xdr:to>
    <xdr:pic>
      <xdr:nvPicPr>
        <xdr:cNvPr id="67" name="Imatge 66" descr="icono-tabla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5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17</xdr:row>
      <xdr:rowOff>9525</xdr:rowOff>
    </xdr:from>
    <xdr:to>
      <xdr:col>4</xdr:col>
      <xdr:colOff>404378</xdr:colOff>
      <xdr:row>17</xdr:row>
      <xdr:rowOff>161924</xdr:rowOff>
    </xdr:to>
    <xdr:pic>
      <xdr:nvPicPr>
        <xdr:cNvPr id="72" name="Imatge 71" descr="Comparativa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381250" y="31527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24</xdr:row>
      <xdr:rowOff>28575</xdr:rowOff>
    </xdr:from>
    <xdr:to>
      <xdr:col>6</xdr:col>
      <xdr:colOff>156728</xdr:colOff>
      <xdr:row>24</xdr:row>
      <xdr:rowOff>180974</xdr:rowOff>
    </xdr:to>
    <xdr:pic>
      <xdr:nvPicPr>
        <xdr:cNvPr id="73" name="Imatge 72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52800" y="4514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29</xdr:row>
      <xdr:rowOff>0</xdr:rowOff>
    </xdr:from>
    <xdr:to>
      <xdr:col>5</xdr:col>
      <xdr:colOff>499628</xdr:colOff>
      <xdr:row>29</xdr:row>
      <xdr:rowOff>152399</xdr:rowOff>
    </xdr:to>
    <xdr:pic>
      <xdr:nvPicPr>
        <xdr:cNvPr id="74" name="Imatge 73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086100" y="54387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30</xdr:row>
      <xdr:rowOff>9525</xdr:rowOff>
    </xdr:from>
    <xdr:to>
      <xdr:col>4</xdr:col>
      <xdr:colOff>556778</xdr:colOff>
      <xdr:row>30</xdr:row>
      <xdr:rowOff>161924</xdr:rowOff>
    </xdr:to>
    <xdr:pic>
      <xdr:nvPicPr>
        <xdr:cNvPr id="75" name="Imatge 74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33650" y="5638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34</xdr:row>
      <xdr:rowOff>9525</xdr:rowOff>
    </xdr:from>
    <xdr:to>
      <xdr:col>3</xdr:col>
      <xdr:colOff>528203</xdr:colOff>
      <xdr:row>34</xdr:row>
      <xdr:rowOff>161924</xdr:rowOff>
    </xdr:to>
    <xdr:pic>
      <xdr:nvPicPr>
        <xdr:cNvPr id="76" name="Imatge 75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895475" y="6400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41</xdr:row>
      <xdr:rowOff>9525</xdr:rowOff>
    </xdr:from>
    <xdr:to>
      <xdr:col>5</xdr:col>
      <xdr:colOff>242453</xdr:colOff>
      <xdr:row>41</xdr:row>
      <xdr:rowOff>161924</xdr:rowOff>
    </xdr:to>
    <xdr:pic>
      <xdr:nvPicPr>
        <xdr:cNvPr id="77" name="Imatge 76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28925" y="77343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55033</xdr:colOff>
      <xdr:row>53</xdr:row>
      <xdr:rowOff>27517</xdr:rowOff>
    </xdr:from>
    <xdr:to>
      <xdr:col>5</xdr:col>
      <xdr:colOff>225519</xdr:colOff>
      <xdr:row>53</xdr:row>
      <xdr:rowOff>179916</xdr:rowOff>
    </xdr:to>
    <xdr:pic>
      <xdr:nvPicPr>
        <xdr:cNvPr id="78" name="Imatge 77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27866" y="11446934"/>
          <a:ext cx="17048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63</xdr:row>
      <xdr:rowOff>180975</xdr:rowOff>
    </xdr:from>
    <xdr:to>
      <xdr:col>4</xdr:col>
      <xdr:colOff>4328</xdr:colOff>
      <xdr:row>64</xdr:row>
      <xdr:rowOff>142874</xdr:rowOff>
    </xdr:to>
    <xdr:pic>
      <xdr:nvPicPr>
        <xdr:cNvPr id="79" name="Imatge 78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81200" y="12115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83" name="Imatge 82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4" y="25717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86" name="Imatge 85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3918" y="275166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52917</xdr:rowOff>
    </xdr:from>
    <xdr:to>
      <xdr:col>1</xdr:col>
      <xdr:colOff>272087</xdr:colOff>
      <xdr:row>11</xdr:row>
      <xdr:rowOff>4232</xdr:rowOff>
    </xdr:to>
    <xdr:pic>
      <xdr:nvPicPr>
        <xdr:cNvPr id="87" name="Imatge 86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4" y="297391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53</xdr:row>
      <xdr:rowOff>42332</xdr:rowOff>
    </xdr:from>
    <xdr:to>
      <xdr:col>5</xdr:col>
      <xdr:colOff>47624</xdr:colOff>
      <xdr:row>53</xdr:row>
      <xdr:rowOff>185207</xdr:rowOff>
    </xdr:to>
    <xdr:pic>
      <xdr:nvPicPr>
        <xdr:cNvPr id="80" name="Imatge 41" descr="icono-grafico.gif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77582" y="1146174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54</xdr:row>
      <xdr:rowOff>31750</xdr:rowOff>
    </xdr:from>
    <xdr:to>
      <xdr:col>4</xdr:col>
      <xdr:colOff>227542</xdr:colOff>
      <xdr:row>54</xdr:row>
      <xdr:rowOff>174625</xdr:rowOff>
    </xdr:to>
    <xdr:pic>
      <xdr:nvPicPr>
        <xdr:cNvPr id="81" name="Imatge 41" descr="icono-grafico.gif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43667" y="1164166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55</xdr:row>
      <xdr:rowOff>10584</xdr:rowOff>
    </xdr:from>
    <xdr:to>
      <xdr:col>5</xdr:col>
      <xdr:colOff>597959</xdr:colOff>
      <xdr:row>55</xdr:row>
      <xdr:rowOff>153459</xdr:rowOff>
    </xdr:to>
    <xdr:pic>
      <xdr:nvPicPr>
        <xdr:cNvPr id="82" name="Imatge 41" descr="icono-grafico.gif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27917" y="118110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105833</xdr:colOff>
      <xdr:row>55</xdr:row>
      <xdr:rowOff>190499</xdr:rowOff>
    </xdr:from>
    <xdr:to>
      <xdr:col>5</xdr:col>
      <xdr:colOff>248708</xdr:colOff>
      <xdr:row>56</xdr:row>
      <xdr:rowOff>142874</xdr:rowOff>
    </xdr:to>
    <xdr:pic>
      <xdr:nvPicPr>
        <xdr:cNvPr id="84" name="Imatge 41" descr="icono-grafico.gif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78666" y="11990916"/>
          <a:ext cx="14287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11</xdr:row>
      <xdr:rowOff>23813</xdr:rowOff>
    </xdr:from>
    <xdr:to>
      <xdr:col>1</xdr:col>
      <xdr:colOff>250031</xdr:colOff>
      <xdr:row>12</xdr:row>
      <xdr:rowOff>71438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381000" y="335756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178594</xdr:colOff>
      <xdr:row>22</xdr:row>
      <xdr:rowOff>47625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309563" y="661987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178594</xdr:colOff>
      <xdr:row>30</xdr:row>
      <xdr:rowOff>47625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309563" y="941784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178594</xdr:colOff>
      <xdr:row>47</xdr:row>
      <xdr:rowOff>47625</xdr:rowOff>
    </xdr:to>
    <xdr:sp macro="" textlink="">
      <xdr:nvSpPr>
        <xdr:cNvPr id="5" name="Fletxa corbada a l'esquerra 4">
          <a:hlinkClick xmlns:r="http://schemas.openxmlformats.org/officeDocument/2006/relationships" r:id="rId2"/>
        </xdr:cNvPr>
        <xdr:cNvSpPr/>
      </xdr:nvSpPr>
      <xdr:spPr>
        <a:xfrm>
          <a:off x="309563" y="14418469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178594</xdr:colOff>
      <xdr:row>55</xdr:row>
      <xdr:rowOff>47625</xdr:rowOff>
    </xdr:to>
    <xdr:sp macro="" textlink="">
      <xdr:nvSpPr>
        <xdr:cNvPr id="6" name="Fletxa corbada a l'esquerra 5">
          <a:hlinkClick xmlns:r="http://schemas.openxmlformats.org/officeDocument/2006/relationships" r:id="rId2"/>
        </xdr:cNvPr>
        <xdr:cNvSpPr/>
      </xdr:nvSpPr>
      <xdr:spPr>
        <a:xfrm>
          <a:off x="309563" y="1722834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178594</xdr:colOff>
      <xdr:row>149</xdr:row>
      <xdr:rowOff>47625</xdr:rowOff>
    </xdr:to>
    <xdr:sp macro="" textlink="">
      <xdr:nvSpPr>
        <xdr:cNvPr id="17" name="Fletxa corbada a l'esquerra 16">
          <a:hlinkClick xmlns:r="http://schemas.openxmlformats.org/officeDocument/2006/relationships" r:id="rId3"/>
        </xdr:cNvPr>
        <xdr:cNvSpPr/>
      </xdr:nvSpPr>
      <xdr:spPr>
        <a:xfrm>
          <a:off x="309563" y="5036343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178594</xdr:colOff>
      <xdr:row>166</xdr:row>
      <xdr:rowOff>47625</xdr:rowOff>
    </xdr:to>
    <xdr:sp macro="" textlink="">
      <xdr:nvSpPr>
        <xdr:cNvPr id="18" name="Fletxa corbada a l'esquerra 17">
          <a:hlinkClick xmlns:r="http://schemas.openxmlformats.org/officeDocument/2006/relationships" r:id="rId4"/>
        </xdr:cNvPr>
        <xdr:cNvSpPr/>
      </xdr:nvSpPr>
      <xdr:spPr>
        <a:xfrm>
          <a:off x="309563" y="5599509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178594</xdr:colOff>
      <xdr:row>180</xdr:row>
      <xdr:rowOff>47625</xdr:rowOff>
    </xdr:to>
    <xdr:sp macro="" textlink="">
      <xdr:nvSpPr>
        <xdr:cNvPr id="19" name="Fletxa corbada a l'esquerra 18">
          <a:hlinkClick xmlns:r="http://schemas.openxmlformats.org/officeDocument/2006/relationships" r:id="rId5"/>
        </xdr:cNvPr>
        <xdr:cNvSpPr/>
      </xdr:nvSpPr>
      <xdr:spPr>
        <a:xfrm>
          <a:off x="309563" y="6012656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178594</xdr:colOff>
      <xdr:row>190</xdr:row>
      <xdr:rowOff>47625</xdr:rowOff>
    </xdr:to>
    <xdr:sp macro="" textlink="">
      <xdr:nvSpPr>
        <xdr:cNvPr id="20" name="Fletxa corbada a l'esquerra 19">
          <a:hlinkClick xmlns:r="http://schemas.openxmlformats.org/officeDocument/2006/relationships" r:id="rId5"/>
        </xdr:cNvPr>
        <xdr:cNvSpPr/>
      </xdr:nvSpPr>
      <xdr:spPr>
        <a:xfrm>
          <a:off x="309563" y="6329362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178594</xdr:colOff>
      <xdr:row>200</xdr:row>
      <xdr:rowOff>47625</xdr:rowOff>
    </xdr:to>
    <xdr:sp macro="" textlink="">
      <xdr:nvSpPr>
        <xdr:cNvPr id="21" name="Fletxa corbada a l'esquerra 20">
          <a:hlinkClick xmlns:r="http://schemas.openxmlformats.org/officeDocument/2006/relationships" r:id="rId5"/>
        </xdr:cNvPr>
        <xdr:cNvSpPr/>
      </xdr:nvSpPr>
      <xdr:spPr>
        <a:xfrm>
          <a:off x="309563" y="66460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216</xdr:row>
      <xdr:rowOff>0</xdr:rowOff>
    </xdr:from>
    <xdr:to>
      <xdr:col>1</xdr:col>
      <xdr:colOff>178594</xdr:colOff>
      <xdr:row>217</xdr:row>
      <xdr:rowOff>47625</xdr:rowOff>
    </xdr:to>
    <xdr:sp macro="" textlink="">
      <xdr:nvSpPr>
        <xdr:cNvPr id="24" name="Fletxa corbada a l'esquerra 23">
          <a:hlinkClick xmlns:r="http://schemas.openxmlformats.org/officeDocument/2006/relationships" r:id="rId5"/>
        </xdr:cNvPr>
        <xdr:cNvSpPr/>
      </xdr:nvSpPr>
      <xdr:spPr>
        <a:xfrm>
          <a:off x="309563" y="7208043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178594</xdr:colOff>
      <xdr:row>230</xdr:row>
      <xdr:rowOff>47625</xdr:rowOff>
    </xdr:to>
    <xdr:sp macro="" textlink="">
      <xdr:nvSpPr>
        <xdr:cNvPr id="25" name="Fletxa corbada a l'esquerra 24">
          <a:hlinkClick xmlns:r="http://schemas.openxmlformats.org/officeDocument/2006/relationships" r:id="rId6"/>
        </xdr:cNvPr>
        <xdr:cNvSpPr/>
      </xdr:nvSpPr>
      <xdr:spPr>
        <a:xfrm>
          <a:off x="309563" y="7612856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178594</xdr:colOff>
      <xdr:row>241</xdr:row>
      <xdr:rowOff>47625</xdr:rowOff>
    </xdr:to>
    <xdr:sp macro="" textlink="">
      <xdr:nvSpPr>
        <xdr:cNvPr id="26" name="Fletxa corbada a l'esquerra 25">
          <a:hlinkClick xmlns:r="http://schemas.openxmlformats.org/officeDocument/2006/relationships" r:id="rId7"/>
        </xdr:cNvPr>
        <xdr:cNvSpPr/>
      </xdr:nvSpPr>
      <xdr:spPr>
        <a:xfrm>
          <a:off x="309563" y="796051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248</xdr:row>
      <xdr:rowOff>0</xdr:rowOff>
    </xdr:from>
    <xdr:to>
      <xdr:col>1</xdr:col>
      <xdr:colOff>178594</xdr:colOff>
      <xdr:row>249</xdr:row>
      <xdr:rowOff>47625</xdr:rowOff>
    </xdr:to>
    <xdr:sp macro="" textlink="">
      <xdr:nvSpPr>
        <xdr:cNvPr id="27" name="Fletxa corbada a l'esquerra 26">
          <a:hlinkClick xmlns:r="http://schemas.openxmlformats.org/officeDocument/2006/relationships" r:id="rId7"/>
        </xdr:cNvPr>
        <xdr:cNvSpPr/>
      </xdr:nvSpPr>
      <xdr:spPr>
        <a:xfrm>
          <a:off x="309563" y="82498406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256</xdr:row>
      <xdr:rowOff>0</xdr:rowOff>
    </xdr:from>
    <xdr:to>
      <xdr:col>1</xdr:col>
      <xdr:colOff>178594</xdr:colOff>
      <xdr:row>257</xdr:row>
      <xdr:rowOff>47625</xdr:rowOff>
    </xdr:to>
    <xdr:sp macro="" textlink="">
      <xdr:nvSpPr>
        <xdr:cNvPr id="28" name="Fletxa corbada a l'esquerra 27">
          <a:hlinkClick xmlns:r="http://schemas.openxmlformats.org/officeDocument/2006/relationships" r:id="rId7"/>
        </xdr:cNvPr>
        <xdr:cNvSpPr/>
      </xdr:nvSpPr>
      <xdr:spPr>
        <a:xfrm>
          <a:off x="309563" y="85260656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178594</xdr:colOff>
      <xdr:row>265</xdr:row>
      <xdr:rowOff>47625</xdr:rowOff>
    </xdr:to>
    <xdr:sp macro="" textlink="">
      <xdr:nvSpPr>
        <xdr:cNvPr id="29" name="Fletxa corbada a l'esquerra 28">
          <a:hlinkClick xmlns:r="http://schemas.openxmlformats.org/officeDocument/2006/relationships" r:id="rId7"/>
        </xdr:cNvPr>
        <xdr:cNvSpPr/>
      </xdr:nvSpPr>
      <xdr:spPr>
        <a:xfrm>
          <a:off x="309563" y="8813006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178594</xdr:colOff>
      <xdr:row>282</xdr:row>
      <xdr:rowOff>47625</xdr:rowOff>
    </xdr:to>
    <xdr:sp macro="" textlink="">
      <xdr:nvSpPr>
        <xdr:cNvPr id="30" name="Fletxa corbada a l'esquerra 29">
          <a:hlinkClick xmlns:r="http://schemas.openxmlformats.org/officeDocument/2006/relationships" r:id="rId8"/>
        </xdr:cNvPr>
        <xdr:cNvSpPr/>
      </xdr:nvSpPr>
      <xdr:spPr>
        <a:xfrm>
          <a:off x="309563" y="9410700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295</xdr:row>
      <xdr:rowOff>0</xdr:rowOff>
    </xdr:from>
    <xdr:to>
      <xdr:col>1</xdr:col>
      <xdr:colOff>178594</xdr:colOff>
      <xdr:row>296</xdr:row>
      <xdr:rowOff>47625</xdr:rowOff>
    </xdr:to>
    <xdr:sp macro="" textlink="">
      <xdr:nvSpPr>
        <xdr:cNvPr id="31" name="Fletxa corbada a l'esquerra 30">
          <a:hlinkClick xmlns:r="http://schemas.openxmlformats.org/officeDocument/2006/relationships" r:id="rId9"/>
        </xdr:cNvPr>
        <xdr:cNvSpPr/>
      </xdr:nvSpPr>
      <xdr:spPr>
        <a:xfrm>
          <a:off x="309563" y="9863137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304</xdr:row>
      <xdr:rowOff>0</xdr:rowOff>
    </xdr:from>
    <xdr:to>
      <xdr:col>1</xdr:col>
      <xdr:colOff>178594</xdr:colOff>
      <xdr:row>305</xdr:row>
      <xdr:rowOff>47625</xdr:rowOff>
    </xdr:to>
    <xdr:sp macro="" textlink="">
      <xdr:nvSpPr>
        <xdr:cNvPr id="32" name="Fletxa corbada a l'esquerra 31">
          <a:hlinkClick xmlns:r="http://schemas.openxmlformats.org/officeDocument/2006/relationships" r:id="rId9"/>
        </xdr:cNvPr>
        <xdr:cNvSpPr/>
      </xdr:nvSpPr>
      <xdr:spPr>
        <a:xfrm>
          <a:off x="309563" y="1016317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178594</xdr:colOff>
      <xdr:row>314</xdr:row>
      <xdr:rowOff>47625</xdr:rowOff>
    </xdr:to>
    <xdr:sp macro="" textlink="">
      <xdr:nvSpPr>
        <xdr:cNvPr id="33" name="Fletxa corbada a l'esquerra 32">
          <a:hlinkClick xmlns:r="http://schemas.openxmlformats.org/officeDocument/2006/relationships" r:id="rId9"/>
        </xdr:cNvPr>
        <xdr:cNvSpPr/>
      </xdr:nvSpPr>
      <xdr:spPr>
        <a:xfrm>
          <a:off x="309563" y="104560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178594</xdr:colOff>
      <xdr:row>329</xdr:row>
      <xdr:rowOff>47625</xdr:rowOff>
    </xdr:to>
    <xdr:sp macro="" textlink="">
      <xdr:nvSpPr>
        <xdr:cNvPr id="34" name="Fletxa corbada a l'esquerra 33">
          <a:hlinkClick xmlns:r="http://schemas.openxmlformats.org/officeDocument/2006/relationships" r:id="rId10"/>
        </xdr:cNvPr>
        <xdr:cNvSpPr/>
      </xdr:nvSpPr>
      <xdr:spPr>
        <a:xfrm>
          <a:off x="309563" y="1092517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336</xdr:row>
      <xdr:rowOff>0</xdr:rowOff>
    </xdr:from>
    <xdr:to>
      <xdr:col>1</xdr:col>
      <xdr:colOff>178594</xdr:colOff>
      <xdr:row>337</xdr:row>
      <xdr:rowOff>47625</xdr:rowOff>
    </xdr:to>
    <xdr:sp macro="" textlink="">
      <xdr:nvSpPr>
        <xdr:cNvPr id="35" name="Fletxa corbada a l'esquerra 34">
          <a:hlinkClick xmlns:r="http://schemas.openxmlformats.org/officeDocument/2006/relationships" r:id="rId10"/>
        </xdr:cNvPr>
        <xdr:cNvSpPr/>
      </xdr:nvSpPr>
      <xdr:spPr>
        <a:xfrm>
          <a:off x="309563" y="11203781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178594</xdr:colOff>
      <xdr:row>344</xdr:row>
      <xdr:rowOff>47625</xdr:rowOff>
    </xdr:to>
    <xdr:sp macro="" textlink="">
      <xdr:nvSpPr>
        <xdr:cNvPr id="36" name="Fletxa corbada a l'esquerra 35">
          <a:hlinkClick xmlns:r="http://schemas.openxmlformats.org/officeDocument/2006/relationships" r:id="rId10"/>
        </xdr:cNvPr>
        <xdr:cNvSpPr/>
      </xdr:nvSpPr>
      <xdr:spPr>
        <a:xfrm>
          <a:off x="309563" y="114931031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178594</xdr:colOff>
      <xdr:row>66</xdr:row>
      <xdr:rowOff>47625</xdr:rowOff>
    </xdr:to>
    <xdr:sp macro="" textlink="">
      <xdr:nvSpPr>
        <xdr:cNvPr id="37" name="Fletxa corbada a l'esquerra 36">
          <a:hlinkClick xmlns:r="http://schemas.openxmlformats.org/officeDocument/2006/relationships" r:id="rId2"/>
        </xdr:cNvPr>
        <xdr:cNvSpPr/>
      </xdr:nvSpPr>
      <xdr:spPr>
        <a:xfrm>
          <a:off x="309563" y="2075259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178594</xdr:colOff>
      <xdr:row>73</xdr:row>
      <xdr:rowOff>47625</xdr:rowOff>
    </xdr:to>
    <xdr:sp macro="" textlink="">
      <xdr:nvSpPr>
        <xdr:cNvPr id="38" name="Fletxa corbada a l'esquerra 37">
          <a:hlinkClick xmlns:r="http://schemas.openxmlformats.org/officeDocument/2006/relationships" r:id="rId2"/>
        </xdr:cNvPr>
        <xdr:cNvSpPr/>
      </xdr:nvSpPr>
      <xdr:spPr>
        <a:xfrm>
          <a:off x="309563" y="2332434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</xdr:col>
      <xdr:colOff>178594</xdr:colOff>
      <xdr:row>81</xdr:row>
      <xdr:rowOff>47625</xdr:rowOff>
    </xdr:to>
    <xdr:sp macro="" textlink="">
      <xdr:nvSpPr>
        <xdr:cNvPr id="39" name="Fletxa corbada a l'esquerra 38">
          <a:hlinkClick xmlns:r="http://schemas.openxmlformats.org/officeDocument/2006/relationships" r:id="rId2"/>
        </xdr:cNvPr>
        <xdr:cNvSpPr/>
      </xdr:nvSpPr>
      <xdr:spPr>
        <a:xfrm>
          <a:off x="309563" y="26229469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178594</xdr:colOff>
      <xdr:row>88</xdr:row>
      <xdr:rowOff>47625</xdr:rowOff>
    </xdr:to>
    <xdr:sp macro="" textlink="">
      <xdr:nvSpPr>
        <xdr:cNvPr id="40" name="Fletxa corbada a l'esquerra 39">
          <a:hlinkClick xmlns:r="http://schemas.openxmlformats.org/officeDocument/2006/relationships" r:id="rId2"/>
        </xdr:cNvPr>
        <xdr:cNvSpPr/>
      </xdr:nvSpPr>
      <xdr:spPr>
        <a:xfrm>
          <a:off x="309563" y="28777406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178594</xdr:colOff>
      <xdr:row>95</xdr:row>
      <xdr:rowOff>47625</xdr:rowOff>
    </xdr:to>
    <xdr:sp macro="" textlink="">
      <xdr:nvSpPr>
        <xdr:cNvPr id="41" name="Fletxa corbada a l'esquerra 40">
          <a:hlinkClick xmlns:r="http://schemas.openxmlformats.org/officeDocument/2006/relationships" r:id="rId2"/>
        </xdr:cNvPr>
        <xdr:cNvSpPr/>
      </xdr:nvSpPr>
      <xdr:spPr>
        <a:xfrm>
          <a:off x="309563" y="3132534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178594</xdr:colOff>
      <xdr:row>103</xdr:row>
      <xdr:rowOff>47625</xdr:rowOff>
    </xdr:to>
    <xdr:sp macro="" textlink="">
      <xdr:nvSpPr>
        <xdr:cNvPr id="42" name="Fletxa corbada a l'esquerra 41">
          <a:hlinkClick xmlns:r="http://schemas.openxmlformats.org/officeDocument/2006/relationships" r:id="rId2"/>
        </xdr:cNvPr>
        <xdr:cNvSpPr/>
      </xdr:nvSpPr>
      <xdr:spPr>
        <a:xfrm>
          <a:off x="309563" y="3417093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178594</xdr:colOff>
      <xdr:row>111</xdr:row>
      <xdr:rowOff>47625</xdr:rowOff>
    </xdr:to>
    <xdr:sp macro="" textlink="">
      <xdr:nvSpPr>
        <xdr:cNvPr id="43" name="Fletxa corbada a l'esquerra 42">
          <a:hlinkClick xmlns:r="http://schemas.openxmlformats.org/officeDocument/2006/relationships" r:id="rId2"/>
        </xdr:cNvPr>
        <xdr:cNvSpPr/>
      </xdr:nvSpPr>
      <xdr:spPr>
        <a:xfrm>
          <a:off x="309563" y="3694509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178594</xdr:colOff>
      <xdr:row>119</xdr:row>
      <xdr:rowOff>47625</xdr:rowOff>
    </xdr:to>
    <xdr:sp macro="" textlink="">
      <xdr:nvSpPr>
        <xdr:cNvPr id="44" name="Fletxa corbada a l'esquerra 43">
          <a:hlinkClick xmlns:r="http://schemas.openxmlformats.org/officeDocument/2006/relationships" r:id="rId2"/>
        </xdr:cNvPr>
        <xdr:cNvSpPr/>
      </xdr:nvSpPr>
      <xdr:spPr>
        <a:xfrm>
          <a:off x="309563" y="39731156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178594</xdr:colOff>
      <xdr:row>127</xdr:row>
      <xdr:rowOff>47625</xdr:rowOff>
    </xdr:to>
    <xdr:sp macro="" textlink="">
      <xdr:nvSpPr>
        <xdr:cNvPr id="46" name="Fletxa corbada a l'esquerra 45">
          <a:hlinkClick xmlns:r="http://schemas.openxmlformats.org/officeDocument/2006/relationships" r:id="rId2"/>
        </xdr:cNvPr>
        <xdr:cNvSpPr/>
      </xdr:nvSpPr>
      <xdr:spPr>
        <a:xfrm>
          <a:off x="309563" y="42517219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178594</xdr:colOff>
      <xdr:row>135</xdr:row>
      <xdr:rowOff>47625</xdr:rowOff>
    </xdr:to>
    <xdr:sp macro="" textlink="">
      <xdr:nvSpPr>
        <xdr:cNvPr id="47" name="Fletxa corbada a l'esquerra 46">
          <a:hlinkClick xmlns:r="http://schemas.openxmlformats.org/officeDocument/2006/relationships" r:id="rId2"/>
        </xdr:cNvPr>
        <xdr:cNvSpPr/>
      </xdr:nvSpPr>
      <xdr:spPr>
        <a:xfrm>
          <a:off x="309563" y="45303281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10</xdr:row>
      <xdr:rowOff>178594</xdr:rowOff>
    </xdr:from>
    <xdr:to>
      <xdr:col>2</xdr:col>
      <xdr:colOff>1</xdr:colOff>
      <xdr:row>11</xdr:row>
      <xdr:rowOff>259557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678657" y="1178719"/>
          <a:ext cx="190500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253393</xdr:colOff>
      <xdr:row>12</xdr:row>
      <xdr:rowOff>49022</xdr:rowOff>
    </xdr:from>
    <xdr:to>
      <xdr:col>11</xdr:col>
      <xdr:colOff>202408</xdr:colOff>
      <xdr:row>29</xdr:row>
      <xdr:rowOff>144274</xdr:rowOff>
    </xdr:to>
    <xdr:graphicFrame macro="">
      <xdr:nvGraphicFramePr>
        <xdr:cNvPr id="3" name="Secto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33621</xdr:colOff>
      <xdr:row>33</xdr:row>
      <xdr:rowOff>66531</xdr:rowOff>
    </xdr:from>
    <xdr:to>
      <xdr:col>10</xdr:col>
      <xdr:colOff>553460</xdr:colOff>
      <xdr:row>55</xdr:row>
      <xdr:rowOff>18908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71437</xdr:colOff>
      <xdr:row>31</xdr:row>
      <xdr:rowOff>178593</xdr:rowOff>
    </xdr:from>
    <xdr:to>
      <xdr:col>2</xdr:col>
      <xdr:colOff>0</xdr:colOff>
      <xdr:row>32</xdr:row>
      <xdr:rowOff>259556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678656" y="5250656"/>
          <a:ext cx="190500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71437</xdr:colOff>
      <xdr:row>58</xdr:row>
      <xdr:rowOff>0</xdr:rowOff>
    </xdr:from>
    <xdr:to>
      <xdr:col>1</xdr:col>
      <xdr:colOff>250031</xdr:colOff>
      <xdr:row>59</xdr:row>
      <xdr:rowOff>23812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678656" y="1028700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35997</xdr:colOff>
      <xdr:row>59</xdr:row>
      <xdr:rowOff>126059</xdr:rowOff>
    </xdr:from>
    <xdr:to>
      <xdr:col>10</xdr:col>
      <xdr:colOff>555836</xdr:colOff>
      <xdr:row>81</xdr:row>
      <xdr:rowOff>90346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83344</xdr:colOff>
      <xdr:row>89</xdr:row>
      <xdr:rowOff>190499</xdr:rowOff>
    </xdr:from>
    <xdr:to>
      <xdr:col>2</xdr:col>
      <xdr:colOff>1</xdr:colOff>
      <xdr:row>91</xdr:row>
      <xdr:rowOff>23811</xdr:rowOff>
    </xdr:to>
    <xdr:sp macro="" textlink="">
      <xdr:nvSpPr>
        <xdr:cNvPr id="10" name="Fletxa corbada a l'esquerra 9">
          <a:hlinkClick xmlns:r="http://schemas.openxmlformats.org/officeDocument/2006/relationships" r:id="rId5"/>
        </xdr:cNvPr>
        <xdr:cNvSpPr/>
      </xdr:nvSpPr>
      <xdr:spPr>
        <a:xfrm>
          <a:off x="690563" y="1671637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14711</xdr:colOff>
      <xdr:row>91</xdr:row>
      <xdr:rowOff>125365</xdr:rowOff>
    </xdr:from>
    <xdr:to>
      <xdr:col>10</xdr:col>
      <xdr:colOff>541554</xdr:colOff>
      <xdr:row>114</xdr:row>
      <xdr:rowOff>63865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523174</xdr:colOff>
      <xdr:row>91</xdr:row>
      <xdr:rowOff>113458</xdr:rowOff>
    </xdr:from>
    <xdr:to>
      <xdr:col>19</xdr:col>
      <xdr:colOff>458205</xdr:colOff>
      <xdr:row>114</xdr:row>
      <xdr:rowOff>51958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83344</xdr:colOff>
      <xdr:row>117</xdr:row>
      <xdr:rowOff>11907</xdr:rowOff>
    </xdr:from>
    <xdr:to>
      <xdr:col>2</xdr:col>
      <xdr:colOff>1</xdr:colOff>
      <xdr:row>118</xdr:row>
      <xdr:rowOff>35720</xdr:rowOff>
    </xdr:to>
    <xdr:sp macro="" textlink="">
      <xdr:nvSpPr>
        <xdr:cNvPr id="18" name="Fletxa corbada a l'esquerra 17">
          <a:hlinkClick xmlns:r="http://schemas.openxmlformats.org/officeDocument/2006/relationships" r:id="rId5"/>
        </xdr:cNvPr>
        <xdr:cNvSpPr/>
      </xdr:nvSpPr>
      <xdr:spPr>
        <a:xfrm>
          <a:off x="690563" y="2651522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14707</xdr:colOff>
      <xdr:row>118</xdr:row>
      <xdr:rowOff>58690</xdr:rowOff>
    </xdr:from>
    <xdr:to>
      <xdr:col>17</xdr:col>
      <xdr:colOff>118363</xdr:colOff>
      <xdr:row>138</xdr:row>
      <xdr:rowOff>100854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143</xdr:row>
      <xdr:rowOff>0</xdr:rowOff>
    </xdr:from>
    <xdr:to>
      <xdr:col>2</xdr:col>
      <xdr:colOff>11907</xdr:colOff>
      <xdr:row>144</xdr:row>
      <xdr:rowOff>23812</xdr:rowOff>
    </xdr:to>
    <xdr:sp macro="" textlink="">
      <xdr:nvSpPr>
        <xdr:cNvPr id="15" name="Fletxa corbada a l'esquerra 14">
          <a:hlinkClick xmlns:r="http://schemas.openxmlformats.org/officeDocument/2006/relationships" r:id="rId5"/>
        </xdr:cNvPr>
        <xdr:cNvSpPr/>
      </xdr:nvSpPr>
      <xdr:spPr>
        <a:xfrm>
          <a:off x="702469" y="32551688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33618</xdr:colOff>
      <xdr:row>144</xdr:row>
      <xdr:rowOff>89646</xdr:rowOff>
    </xdr:from>
    <xdr:to>
      <xdr:col>19</xdr:col>
      <xdr:colOff>1400</xdr:colOff>
      <xdr:row>172</xdr:row>
      <xdr:rowOff>30115</xdr:rowOff>
    </xdr:to>
    <xdr:graphicFrame macro="">
      <xdr:nvGraphicFramePr>
        <xdr:cNvPr id="20" name="Gràfic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2</xdr:col>
      <xdr:colOff>11907</xdr:colOff>
      <xdr:row>176</xdr:row>
      <xdr:rowOff>23813</xdr:rowOff>
    </xdr:to>
    <xdr:sp macro="" textlink="">
      <xdr:nvSpPr>
        <xdr:cNvPr id="21" name="Fletxa corbada a l'esquerra 20">
          <a:hlinkClick xmlns:r="http://schemas.openxmlformats.org/officeDocument/2006/relationships" r:id="rId5"/>
        </xdr:cNvPr>
        <xdr:cNvSpPr/>
      </xdr:nvSpPr>
      <xdr:spPr>
        <a:xfrm>
          <a:off x="702469" y="39290625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33618</xdr:colOff>
      <xdr:row>176</xdr:row>
      <xdr:rowOff>227619</xdr:rowOff>
    </xdr:from>
    <xdr:to>
      <xdr:col>14</xdr:col>
      <xdr:colOff>546989</xdr:colOff>
      <xdr:row>199</xdr:row>
      <xdr:rowOff>161084</xdr:rowOff>
    </xdr:to>
    <xdr:graphicFrame macro="">
      <xdr:nvGraphicFramePr>
        <xdr:cNvPr id="22" name="Gràfic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83344</xdr:colOff>
      <xdr:row>205</xdr:row>
      <xdr:rowOff>0</xdr:rowOff>
    </xdr:from>
    <xdr:to>
      <xdr:col>2</xdr:col>
      <xdr:colOff>1</xdr:colOff>
      <xdr:row>206</xdr:row>
      <xdr:rowOff>23812</xdr:rowOff>
    </xdr:to>
    <xdr:sp macro="" textlink="">
      <xdr:nvSpPr>
        <xdr:cNvPr id="23" name="Fletxa corbada a l'esquerra 22">
          <a:hlinkClick xmlns:r="http://schemas.openxmlformats.org/officeDocument/2006/relationships" r:id="rId5"/>
        </xdr:cNvPr>
        <xdr:cNvSpPr/>
      </xdr:nvSpPr>
      <xdr:spPr>
        <a:xfrm>
          <a:off x="690563" y="45219938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24229</xdr:colOff>
      <xdr:row>206</xdr:row>
      <xdr:rowOff>137270</xdr:rowOff>
    </xdr:from>
    <xdr:to>
      <xdr:col>10</xdr:col>
      <xdr:colOff>551072</xdr:colOff>
      <xdr:row>228</xdr:row>
      <xdr:rowOff>135301</xdr:rowOff>
    </xdr:to>
    <xdr:graphicFrame macro="">
      <xdr:nvGraphicFramePr>
        <xdr:cNvPr id="24" name="Gràfic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95250</xdr:colOff>
      <xdr:row>231</xdr:row>
      <xdr:rowOff>11906</xdr:rowOff>
    </xdr:from>
    <xdr:to>
      <xdr:col>2</xdr:col>
      <xdr:colOff>11907</xdr:colOff>
      <xdr:row>232</xdr:row>
      <xdr:rowOff>35719</xdr:rowOff>
    </xdr:to>
    <xdr:sp macro="" textlink="">
      <xdr:nvSpPr>
        <xdr:cNvPr id="25" name="Fletxa corbada a l'esquerra 24">
          <a:hlinkClick xmlns:r="http://schemas.openxmlformats.org/officeDocument/2006/relationships" r:id="rId5"/>
        </xdr:cNvPr>
        <xdr:cNvSpPr/>
      </xdr:nvSpPr>
      <xdr:spPr>
        <a:xfrm>
          <a:off x="702469" y="50256281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26611</xdr:colOff>
      <xdr:row>233</xdr:row>
      <xdr:rowOff>18210</xdr:rowOff>
    </xdr:from>
    <xdr:to>
      <xdr:col>10</xdr:col>
      <xdr:colOff>553454</xdr:colOff>
      <xdr:row>252</xdr:row>
      <xdr:rowOff>159116</xdr:rowOff>
    </xdr:to>
    <xdr:graphicFrame macro="">
      <xdr:nvGraphicFramePr>
        <xdr:cNvPr id="26" name="Gràfic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83344</xdr:colOff>
      <xdr:row>257</xdr:row>
      <xdr:rowOff>166688</xdr:rowOff>
    </xdr:from>
    <xdr:to>
      <xdr:col>2</xdr:col>
      <xdr:colOff>1</xdr:colOff>
      <xdr:row>259</xdr:row>
      <xdr:rowOff>0</xdr:rowOff>
    </xdr:to>
    <xdr:sp macro="" textlink="">
      <xdr:nvSpPr>
        <xdr:cNvPr id="27" name="Fletxa corbada a l'esquerra 26">
          <a:hlinkClick xmlns:r="http://schemas.openxmlformats.org/officeDocument/2006/relationships" r:id="rId5"/>
        </xdr:cNvPr>
        <xdr:cNvSpPr/>
      </xdr:nvSpPr>
      <xdr:spPr>
        <a:xfrm>
          <a:off x="690563" y="55435501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33616</xdr:colOff>
      <xdr:row>259</xdr:row>
      <xdr:rowOff>123260</xdr:rowOff>
    </xdr:from>
    <xdr:to>
      <xdr:col>10</xdr:col>
      <xdr:colOff>553455</xdr:colOff>
      <xdr:row>279</xdr:row>
      <xdr:rowOff>170888</xdr:rowOff>
    </xdr:to>
    <xdr:graphicFrame macro="">
      <xdr:nvGraphicFramePr>
        <xdr:cNvPr id="28" name="Gràfic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21852</xdr:colOff>
      <xdr:row>282</xdr:row>
      <xdr:rowOff>4203</xdr:rowOff>
    </xdr:from>
    <xdr:to>
      <xdr:col>15</xdr:col>
      <xdr:colOff>106455</xdr:colOff>
      <xdr:row>308</xdr:row>
      <xdr:rowOff>4203</xdr:rowOff>
    </xdr:to>
    <xdr:graphicFrame macro="">
      <xdr:nvGraphicFramePr>
        <xdr:cNvPr id="29" name="Gràfic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95250</xdr:colOff>
      <xdr:row>312</xdr:row>
      <xdr:rowOff>11906</xdr:rowOff>
    </xdr:from>
    <xdr:to>
      <xdr:col>2</xdr:col>
      <xdr:colOff>11907</xdr:colOff>
      <xdr:row>313</xdr:row>
      <xdr:rowOff>35719</xdr:rowOff>
    </xdr:to>
    <xdr:sp macro="" textlink="">
      <xdr:nvSpPr>
        <xdr:cNvPr id="30" name="Fletxa corbada a l'esquerra 29">
          <a:hlinkClick xmlns:r="http://schemas.openxmlformats.org/officeDocument/2006/relationships" r:id="rId5"/>
        </xdr:cNvPr>
        <xdr:cNvSpPr/>
      </xdr:nvSpPr>
      <xdr:spPr>
        <a:xfrm>
          <a:off x="702469" y="65829656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26610</xdr:colOff>
      <xdr:row>313</xdr:row>
      <xdr:rowOff>184896</xdr:rowOff>
    </xdr:from>
    <xdr:to>
      <xdr:col>13</xdr:col>
      <xdr:colOff>225518</xdr:colOff>
      <xdr:row>343</xdr:row>
      <xdr:rowOff>6302</xdr:rowOff>
    </xdr:to>
    <xdr:graphicFrame macro="">
      <xdr:nvGraphicFramePr>
        <xdr:cNvPr id="31" name="Gràfic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95250</xdr:colOff>
      <xdr:row>350</xdr:row>
      <xdr:rowOff>0</xdr:rowOff>
    </xdr:from>
    <xdr:to>
      <xdr:col>2</xdr:col>
      <xdr:colOff>11907</xdr:colOff>
      <xdr:row>351</xdr:row>
      <xdr:rowOff>23812</xdr:rowOff>
    </xdr:to>
    <xdr:sp macro="" textlink="">
      <xdr:nvSpPr>
        <xdr:cNvPr id="33" name="Fletxa corbada a l'esquerra 32">
          <a:hlinkClick xmlns:r="http://schemas.openxmlformats.org/officeDocument/2006/relationships" r:id="rId5"/>
        </xdr:cNvPr>
        <xdr:cNvSpPr/>
      </xdr:nvSpPr>
      <xdr:spPr>
        <a:xfrm>
          <a:off x="702469" y="73128188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247230</xdr:colOff>
      <xdr:row>352</xdr:row>
      <xdr:rowOff>23111</xdr:rowOff>
    </xdr:from>
    <xdr:to>
      <xdr:col>12</xdr:col>
      <xdr:colOff>493059</xdr:colOff>
      <xdr:row>381</xdr:row>
      <xdr:rowOff>35019</xdr:rowOff>
    </xdr:to>
    <xdr:graphicFrame macro="">
      <xdr:nvGraphicFramePr>
        <xdr:cNvPr id="35" name="Gràfic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83343</xdr:colOff>
      <xdr:row>383</xdr:row>
      <xdr:rowOff>0</xdr:rowOff>
    </xdr:from>
    <xdr:to>
      <xdr:col>2</xdr:col>
      <xdr:colOff>0</xdr:colOff>
      <xdr:row>384</xdr:row>
      <xdr:rowOff>23813</xdr:rowOff>
    </xdr:to>
    <xdr:sp macro="" textlink="">
      <xdr:nvSpPr>
        <xdr:cNvPr id="36" name="Fletxa corbada a l'esquerra 35">
          <a:hlinkClick xmlns:r="http://schemas.openxmlformats.org/officeDocument/2006/relationships" r:id="rId5"/>
        </xdr:cNvPr>
        <xdr:cNvSpPr/>
      </xdr:nvSpPr>
      <xdr:spPr>
        <a:xfrm>
          <a:off x="690562" y="79676625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261237</xdr:colOff>
      <xdr:row>384</xdr:row>
      <xdr:rowOff>126769</xdr:rowOff>
    </xdr:from>
    <xdr:to>
      <xdr:col>22</xdr:col>
      <xdr:colOff>504265</xdr:colOff>
      <xdr:row>411</xdr:row>
      <xdr:rowOff>31518</xdr:rowOff>
    </xdr:to>
    <xdr:graphicFrame macro="">
      <xdr:nvGraphicFramePr>
        <xdr:cNvPr id="37" name="Gràfic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107156</xdr:colOff>
      <xdr:row>416</xdr:row>
      <xdr:rowOff>166687</xdr:rowOff>
    </xdr:from>
    <xdr:to>
      <xdr:col>2</xdr:col>
      <xdr:colOff>23813</xdr:colOff>
      <xdr:row>418</xdr:row>
      <xdr:rowOff>47624</xdr:rowOff>
    </xdr:to>
    <xdr:sp macro="" textlink="">
      <xdr:nvSpPr>
        <xdr:cNvPr id="38" name="Fletxa corbada a l'esquerra 37">
          <a:hlinkClick xmlns:r="http://schemas.openxmlformats.org/officeDocument/2006/relationships" r:id="rId18"/>
        </xdr:cNvPr>
        <xdr:cNvSpPr/>
      </xdr:nvSpPr>
      <xdr:spPr>
        <a:xfrm>
          <a:off x="714375" y="86201250"/>
          <a:ext cx="178594" cy="33337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35997</xdr:colOff>
      <xdr:row>418</xdr:row>
      <xdr:rowOff>203805</xdr:rowOff>
    </xdr:from>
    <xdr:to>
      <xdr:col>18</xdr:col>
      <xdr:colOff>392203</xdr:colOff>
      <xdr:row>444</xdr:row>
      <xdr:rowOff>65833</xdr:rowOff>
    </xdr:to>
    <xdr:graphicFrame macro="">
      <xdr:nvGraphicFramePr>
        <xdr:cNvPr id="40" name="Gràfic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107157</xdr:colOff>
      <xdr:row>477</xdr:row>
      <xdr:rowOff>0</xdr:rowOff>
    </xdr:from>
    <xdr:to>
      <xdr:col>2</xdr:col>
      <xdr:colOff>23814</xdr:colOff>
      <xdr:row>478</xdr:row>
      <xdr:rowOff>23813</xdr:rowOff>
    </xdr:to>
    <xdr:sp macro="" textlink="">
      <xdr:nvSpPr>
        <xdr:cNvPr id="41" name="Fletxa corbada a l'esquerra 40">
          <a:hlinkClick xmlns:r="http://schemas.openxmlformats.org/officeDocument/2006/relationships" r:id="rId20"/>
        </xdr:cNvPr>
        <xdr:cNvSpPr/>
      </xdr:nvSpPr>
      <xdr:spPr>
        <a:xfrm>
          <a:off x="714376" y="9870281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33618</xdr:colOff>
      <xdr:row>478</xdr:row>
      <xdr:rowOff>113458</xdr:rowOff>
    </xdr:from>
    <xdr:to>
      <xdr:col>16</xdr:col>
      <xdr:colOff>150143</xdr:colOff>
      <xdr:row>497</xdr:row>
      <xdr:rowOff>93958</xdr:rowOff>
    </xdr:to>
    <xdr:graphicFrame macro="">
      <xdr:nvGraphicFramePr>
        <xdr:cNvPr id="43" name="Gràfic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107156</xdr:colOff>
      <xdr:row>500</xdr:row>
      <xdr:rowOff>0</xdr:rowOff>
    </xdr:from>
    <xdr:to>
      <xdr:col>2</xdr:col>
      <xdr:colOff>23813</xdr:colOff>
      <xdr:row>501</xdr:row>
      <xdr:rowOff>23812</xdr:rowOff>
    </xdr:to>
    <xdr:sp macro="" textlink="">
      <xdr:nvSpPr>
        <xdr:cNvPr id="44" name="Fletxa corbada a l'esquerra 43">
          <a:hlinkClick xmlns:r="http://schemas.openxmlformats.org/officeDocument/2006/relationships" r:id="rId20"/>
        </xdr:cNvPr>
        <xdr:cNvSpPr/>
      </xdr:nvSpPr>
      <xdr:spPr>
        <a:xfrm>
          <a:off x="714375" y="1037272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224114</xdr:colOff>
      <xdr:row>502</xdr:row>
      <xdr:rowOff>42021</xdr:rowOff>
    </xdr:from>
    <xdr:to>
      <xdr:col>15</xdr:col>
      <xdr:colOff>325921</xdr:colOff>
      <xdr:row>521</xdr:row>
      <xdr:rowOff>22521</xdr:rowOff>
    </xdr:to>
    <xdr:graphicFrame macro="">
      <xdr:nvGraphicFramePr>
        <xdr:cNvPr id="46" name="Gràfic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95250</xdr:colOff>
      <xdr:row>524</xdr:row>
      <xdr:rowOff>0</xdr:rowOff>
    </xdr:from>
    <xdr:to>
      <xdr:col>2</xdr:col>
      <xdr:colOff>11907</xdr:colOff>
      <xdr:row>525</xdr:row>
      <xdr:rowOff>23813</xdr:rowOff>
    </xdr:to>
    <xdr:sp macro="" textlink="">
      <xdr:nvSpPr>
        <xdr:cNvPr id="47" name="Fletxa corbada a l'esquerra 46">
          <a:hlinkClick xmlns:r="http://schemas.openxmlformats.org/officeDocument/2006/relationships" r:id="rId20"/>
        </xdr:cNvPr>
        <xdr:cNvSpPr/>
      </xdr:nvSpPr>
      <xdr:spPr>
        <a:xfrm>
          <a:off x="702469" y="109132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33621</xdr:colOff>
      <xdr:row>525</xdr:row>
      <xdr:rowOff>184897</xdr:rowOff>
    </xdr:from>
    <xdr:to>
      <xdr:col>16</xdr:col>
      <xdr:colOff>150146</xdr:colOff>
      <xdr:row>544</xdr:row>
      <xdr:rowOff>165397</xdr:rowOff>
    </xdr:to>
    <xdr:graphicFrame macro="">
      <xdr:nvGraphicFramePr>
        <xdr:cNvPr id="48" name="Gràfic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107156</xdr:colOff>
      <xdr:row>547</xdr:row>
      <xdr:rowOff>0</xdr:rowOff>
    </xdr:from>
    <xdr:to>
      <xdr:col>2</xdr:col>
      <xdr:colOff>23813</xdr:colOff>
      <xdr:row>548</xdr:row>
      <xdr:rowOff>23812</xdr:rowOff>
    </xdr:to>
    <xdr:sp macro="" textlink="">
      <xdr:nvSpPr>
        <xdr:cNvPr id="49" name="Fletxa corbada a l'esquerra 48">
          <a:hlinkClick xmlns:r="http://schemas.openxmlformats.org/officeDocument/2006/relationships" r:id="rId20"/>
        </xdr:cNvPr>
        <xdr:cNvSpPr/>
      </xdr:nvSpPr>
      <xdr:spPr>
        <a:xfrm>
          <a:off x="714375" y="11777662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33618</xdr:colOff>
      <xdr:row>548</xdr:row>
      <xdr:rowOff>18209</xdr:rowOff>
    </xdr:from>
    <xdr:to>
      <xdr:col>16</xdr:col>
      <xdr:colOff>150143</xdr:colOff>
      <xdr:row>566</xdr:row>
      <xdr:rowOff>189209</xdr:rowOff>
    </xdr:to>
    <xdr:graphicFrame macro="">
      <xdr:nvGraphicFramePr>
        <xdr:cNvPr id="50" name="Gràfic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71438</xdr:colOff>
      <xdr:row>716</xdr:row>
      <xdr:rowOff>59531</xdr:rowOff>
    </xdr:from>
    <xdr:to>
      <xdr:col>1</xdr:col>
      <xdr:colOff>250032</xdr:colOff>
      <xdr:row>717</xdr:row>
      <xdr:rowOff>11905</xdr:rowOff>
    </xdr:to>
    <xdr:sp macro="" textlink="">
      <xdr:nvSpPr>
        <xdr:cNvPr id="52" name="Fletxa corbada a l'esquerra 51">
          <a:hlinkClick xmlns:r="http://schemas.openxmlformats.org/officeDocument/2006/relationships" r:id="rId25"/>
        </xdr:cNvPr>
        <xdr:cNvSpPr/>
      </xdr:nvSpPr>
      <xdr:spPr>
        <a:xfrm>
          <a:off x="678657" y="125408531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749</xdr:row>
      <xdr:rowOff>0</xdr:rowOff>
    </xdr:from>
    <xdr:to>
      <xdr:col>2</xdr:col>
      <xdr:colOff>11907</xdr:colOff>
      <xdr:row>750</xdr:row>
      <xdr:rowOff>23811</xdr:rowOff>
    </xdr:to>
    <xdr:sp macro="" textlink="">
      <xdr:nvSpPr>
        <xdr:cNvPr id="53" name="Fletxa corbada a l'esquerra 52">
          <a:hlinkClick xmlns:r="http://schemas.openxmlformats.org/officeDocument/2006/relationships" r:id="rId26"/>
        </xdr:cNvPr>
        <xdr:cNvSpPr/>
      </xdr:nvSpPr>
      <xdr:spPr>
        <a:xfrm>
          <a:off x="702469" y="132040313"/>
          <a:ext cx="178594" cy="28574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37119</xdr:colOff>
      <xdr:row>750</xdr:row>
      <xdr:rowOff>105055</xdr:rowOff>
    </xdr:from>
    <xdr:to>
      <xdr:col>15</xdr:col>
      <xdr:colOff>81242</xdr:colOff>
      <xdr:row>773</xdr:row>
      <xdr:rowOff>176493</xdr:rowOff>
    </xdr:to>
    <xdr:graphicFrame macro="">
      <xdr:nvGraphicFramePr>
        <xdr:cNvPr id="56" name="Gràfic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107156</xdr:colOff>
      <xdr:row>777</xdr:row>
      <xdr:rowOff>11907</xdr:rowOff>
    </xdr:from>
    <xdr:to>
      <xdr:col>2</xdr:col>
      <xdr:colOff>23813</xdr:colOff>
      <xdr:row>778</xdr:row>
      <xdr:rowOff>35719</xdr:rowOff>
    </xdr:to>
    <xdr:sp macro="" textlink="">
      <xdr:nvSpPr>
        <xdr:cNvPr id="57" name="Fletxa corbada a l'esquerra 56">
          <a:hlinkClick xmlns:r="http://schemas.openxmlformats.org/officeDocument/2006/relationships" r:id="rId26"/>
        </xdr:cNvPr>
        <xdr:cNvSpPr/>
      </xdr:nvSpPr>
      <xdr:spPr>
        <a:xfrm>
          <a:off x="714375" y="138029157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45522</xdr:colOff>
      <xdr:row>779</xdr:row>
      <xdr:rowOff>89645</xdr:rowOff>
    </xdr:from>
    <xdr:to>
      <xdr:col>17</xdr:col>
      <xdr:colOff>296954</xdr:colOff>
      <xdr:row>807</xdr:row>
      <xdr:rowOff>113459</xdr:rowOff>
    </xdr:to>
    <xdr:graphicFrame macro="">
      <xdr:nvGraphicFramePr>
        <xdr:cNvPr id="60" name="Gràfic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95250</xdr:colOff>
      <xdr:row>809</xdr:row>
      <xdr:rowOff>178594</xdr:rowOff>
    </xdr:from>
    <xdr:to>
      <xdr:col>2</xdr:col>
      <xdr:colOff>11907</xdr:colOff>
      <xdr:row>811</xdr:row>
      <xdr:rowOff>11905</xdr:rowOff>
    </xdr:to>
    <xdr:sp macro="" textlink="">
      <xdr:nvSpPr>
        <xdr:cNvPr id="61" name="Fletxa corbada a l'esquerra 60">
          <a:hlinkClick xmlns:r="http://schemas.openxmlformats.org/officeDocument/2006/relationships" r:id="rId26"/>
        </xdr:cNvPr>
        <xdr:cNvSpPr/>
      </xdr:nvSpPr>
      <xdr:spPr>
        <a:xfrm>
          <a:off x="702469" y="144363282"/>
          <a:ext cx="178594" cy="28574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33619</xdr:colOff>
      <xdr:row>812</xdr:row>
      <xdr:rowOff>42022</xdr:rowOff>
    </xdr:from>
    <xdr:to>
      <xdr:col>19</xdr:col>
      <xdr:colOff>23113</xdr:colOff>
      <xdr:row>839</xdr:row>
      <xdr:rowOff>30115</xdr:rowOff>
    </xdr:to>
    <xdr:graphicFrame macro="">
      <xdr:nvGraphicFramePr>
        <xdr:cNvPr id="63" name="Gràfic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95250</xdr:colOff>
      <xdr:row>846</xdr:row>
      <xdr:rowOff>0</xdr:rowOff>
    </xdr:from>
    <xdr:to>
      <xdr:col>2</xdr:col>
      <xdr:colOff>11907</xdr:colOff>
      <xdr:row>847</xdr:row>
      <xdr:rowOff>23812</xdr:rowOff>
    </xdr:to>
    <xdr:sp macro="" textlink="">
      <xdr:nvSpPr>
        <xdr:cNvPr id="64" name="Fletxa corbada a l'esquerra 63">
          <a:hlinkClick xmlns:r="http://schemas.openxmlformats.org/officeDocument/2006/relationships" r:id="rId30"/>
        </xdr:cNvPr>
        <xdr:cNvSpPr/>
      </xdr:nvSpPr>
      <xdr:spPr>
        <a:xfrm>
          <a:off x="702469" y="151566563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33618</xdr:colOff>
      <xdr:row>847</xdr:row>
      <xdr:rowOff>65835</xdr:rowOff>
    </xdr:from>
    <xdr:to>
      <xdr:col>17</xdr:col>
      <xdr:colOff>261238</xdr:colOff>
      <xdr:row>870</xdr:row>
      <xdr:rowOff>149178</xdr:rowOff>
    </xdr:to>
    <xdr:graphicFrame macro="">
      <xdr:nvGraphicFramePr>
        <xdr:cNvPr id="65" name="Gràfic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95250</xdr:colOff>
      <xdr:row>876</xdr:row>
      <xdr:rowOff>11906</xdr:rowOff>
    </xdr:from>
    <xdr:to>
      <xdr:col>2</xdr:col>
      <xdr:colOff>11907</xdr:colOff>
      <xdr:row>877</xdr:row>
      <xdr:rowOff>35717</xdr:rowOff>
    </xdr:to>
    <xdr:sp macro="" textlink="">
      <xdr:nvSpPr>
        <xdr:cNvPr id="66" name="Fletxa corbada a l'esquerra 65">
          <a:hlinkClick xmlns:r="http://schemas.openxmlformats.org/officeDocument/2006/relationships" r:id="rId30"/>
        </xdr:cNvPr>
        <xdr:cNvSpPr/>
      </xdr:nvSpPr>
      <xdr:spPr>
        <a:xfrm>
          <a:off x="702469" y="157364906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26610</xdr:colOff>
      <xdr:row>877</xdr:row>
      <xdr:rowOff>113458</xdr:rowOff>
    </xdr:from>
    <xdr:to>
      <xdr:col>11</xdr:col>
      <xdr:colOff>261236</xdr:colOff>
      <xdr:row>896</xdr:row>
      <xdr:rowOff>149175</xdr:rowOff>
    </xdr:to>
    <xdr:graphicFrame macro="">
      <xdr:nvGraphicFramePr>
        <xdr:cNvPr id="67" name="Gràfic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33616</xdr:colOff>
      <xdr:row>904</xdr:row>
      <xdr:rowOff>42021</xdr:rowOff>
    </xdr:from>
    <xdr:to>
      <xdr:col>18</xdr:col>
      <xdr:colOff>82642</xdr:colOff>
      <xdr:row>930</xdr:row>
      <xdr:rowOff>137272</xdr:rowOff>
    </xdr:to>
    <xdr:graphicFrame macro="">
      <xdr:nvGraphicFramePr>
        <xdr:cNvPr id="69" name="Gràfic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83344</xdr:colOff>
      <xdr:row>903</xdr:row>
      <xdr:rowOff>11907</xdr:rowOff>
    </xdr:from>
    <xdr:to>
      <xdr:col>2</xdr:col>
      <xdr:colOff>1</xdr:colOff>
      <xdr:row>904</xdr:row>
      <xdr:rowOff>35719</xdr:rowOff>
    </xdr:to>
    <xdr:sp macro="" textlink="">
      <xdr:nvSpPr>
        <xdr:cNvPr id="70" name="Fletxa corbada a l'esquerra 69">
          <a:hlinkClick xmlns:r="http://schemas.openxmlformats.org/officeDocument/2006/relationships" r:id="rId30"/>
        </xdr:cNvPr>
        <xdr:cNvSpPr/>
      </xdr:nvSpPr>
      <xdr:spPr>
        <a:xfrm>
          <a:off x="690563" y="16257984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33616</xdr:colOff>
      <xdr:row>449</xdr:row>
      <xdr:rowOff>137273</xdr:rowOff>
    </xdr:from>
    <xdr:to>
      <xdr:col>18</xdr:col>
      <xdr:colOff>392203</xdr:colOff>
      <xdr:row>473</xdr:row>
      <xdr:rowOff>89648</xdr:rowOff>
    </xdr:to>
    <xdr:graphicFrame macro="">
      <xdr:nvGraphicFramePr>
        <xdr:cNvPr id="62" name="Gràfic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107156</xdr:colOff>
      <xdr:row>448</xdr:row>
      <xdr:rowOff>11906</xdr:rowOff>
    </xdr:from>
    <xdr:to>
      <xdr:col>2</xdr:col>
      <xdr:colOff>23813</xdr:colOff>
      <xdr:row>449</xdr:row>
      <xdr:rowOff>11905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714375" y="92285344"/>
          <a:ext cx="178594" cy="261936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14708</xdr:colOff>
      <xdr:row>571</xdr:row>
      <xdr:rowOff>161084</xdr:rowOff>
    </xdr:from>
    <xdr:to>
      <xdr:col>16</xdr:col>
      <xdr:colOff>138237</xdr:colOff>
      <xdr:row>593</xdr:row>
      <xdr:rowOff>42023</xdr:rowOff>
    </xdr:to>
    <xdr:graphicFrame macro="">
      <xdr:nvGraphicFramePr>
        <xdr:cNvPr id="58" name="Gràfic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33617</xdr:colOff>
      <xdr:row>717</xdr:row>
      <xdr:rowOff>161085</xdr:rowOff>
    </xdr:from>
    <xdr:to>
      <xdr:col>9</xdr:col>
      <xdr:colOff>404110</xdr:colOff>
      <xdr:row>741</xdr:row>
      <xdr:rowOff>161085</xdr:rowOff>
    </xdr:to>
    <xdr:graphicFrame macro="">
      <xdr:nvGraphicFramePr>
        <xdr:cNvPr id="73" name="Gràfic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</xdr:col>
      <xdr:colOff>45523</xdr:colOff>
      <xdr:row>931</xdr:row>
      <xdr:rowOff>89647</xdr:rowOff>
    </xdr:from>
    <xdr:to>
      <xdr:col>18</xdr:col>
      <xdr:colOff>94549</xdr:colOff>
      <xdr:row>959</xdr:row>
      <xdr:rowOff>6304</xdr:rowOff>
    </xdr:to>
    <xdr:graphicFrame macro="">
      <xdr:nvGraphicFramePr>
        <xdr:cNvPr id="74" name="Gràfic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603</xdr:row>
      <xdr:rowOff>0</xdr:rowOff>
    </xdr:from>
    <xdr:to>
      <xdr:col>1</xdr:col>
      <xdr:colOff>178594</xdr:colOff>
      <xdr:row>604</xdr:row>
      <xdr:rowOff>47625</xdr:rowOff>
    </xdr:to>
    <xdr:sp macro="" textlink="">
      <xdr:nvSpPr>
        <xdr:cNvPr id="72" name="Fletxa corbada a l'esquerra 71">
          <a:hlinkClick xmlns:r="http://schemas.openxmlformats.org/officeDocument/2006/relationships" r:id="rId39"/>
        </xdr:cNvPr>
        <xdr:cNvSpPr/>
      </xdr:nvSpPr>
      <xdr:spPr>
        <a:xfrm>
          <a:off x="304800" y="6196012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35717</xdr:colOff>
      <xdr:row>604</xdr:row>
      <xdr:rowOff>46925</xdr:rowOff>
    </xdr:from>
    <xdr:to>
      <xdr:col>9</xdr:col>
      <xdr:colOff>406210</xdr:colOff>
      <xdr:row>629</xdr:row>
      <xdr:rowOff>94549</xdr:rowOff>
    </xdr:to>
    <xdr:graphicFrame macro="">
      <xdr:nvGraphicFramePr>
        <xdr:cNvPr id="75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634</xdr:row>
      <xdr:rowOff>0</xdr:rowOff>
    </xdr:from>
    <xdr:to>
      <xdr:col>1</xdr:col>
      <xdr:colOff>178594</xdr:colOff>
      <xdr:row>635</xdr:row>
      <xdr:rowOff>47625</xdr:rowOff>
    </xdr:to>
    <xdr:sp macro="" textlink="">
      <xdr:nvSpPr>
        <xdr:cNvPr id="76" name="Fletxa corbada a l'esquerra 75">
          <a:hlinkClick xmlns:r="http://schemas.openxmlformats.org/officeDocument/2006/relationships" r:id="rId39"/>
        </xdr:cNvPr>
        <xdr:cNvSpPr/>
      </xdr:nvSpPr>
      <xdr:spPr>
        <a:xfrm>
          <a:off x="304800" y="641413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657</xdr:row>
      <xdr:rowOff>0</xdr:rowOff>
    </xdr:from>
    <xdr:to>
      <xdr:col>1</xdr:col>
      <xdr:colOff>178594</xdr:colOff>
      <xdr:row>658</xdr:row>
      <xdr:rowOff>47625</xdr:rowOff>
    </xdr:to>
    <xdr:sp macro="" textlink="">
      <xdr:nvSpPr>
        <xdr:cNvPr id="79" name="Fletxa corbada a l'esquerra 78">
          <a:hlinkClick xmlns:r="http://schemas.openxmlformats.org/officeDocument/2006/relationships" r:id="rId39"/>
        </xdr:cNvPr>
        <xdr:cNvSpPr/>
      </xdr:nvSpPr>
      <xdr:spPr>
        <a:xfrm>
          <a:off x="304800" y="661987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28713</xdr:colOff>
      <xdr:row>657</xdr:row>
      <xdr:rowOff>206608</xdr:rowOff>
    </xdr:from>
    <xdr:to>
      <xdr:col>17</xdr:col>
      <xdr:colOff>263337</xdr:colOff>
      <xdr:row>686</xdr:row>
      <xdr:rowOff>90348</xdr:rowOff>
    </xdr:to>
    <xdr:graphicFrame macro="">
      <xdr:nvGraphicFramePr>
        <xdr:cNvPr id="80" name="Gràfic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33616</xdr:colOff>
      <xdr:row>634</xdr:row>
      <xdr:rowOff>217815</xdr:rowOff>
    </xdr:from>
    <xdr:to>
      <xdr:col>17</xdr:col>
      <xdr:colOff>261236</xdr:colOff>
      <xdr:row>653</xdr:row>
      <xdr:rowOff>113461</xdr:rowOff>
    </xdr:to>
    <xdr:graphicFrame macro="">
      <xdr:nvGraphicFramePr>
        <xdr:cNvPr id="81" name="Gràfic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688</xdr:row>
      <xdr:rowOff>0</xdr:rowOff>
    </xdr:from>
    <xdr:to>
      <xdr:col>1</xdr:col>
      <xdr:colOff>178594</xdr:colOff>
      <xdr:row>689</xdr:row>
      <xdr:rowOff>47625</xdr:rowOff>
    </xdr:to>
    <xdr:sp macro="" textlink="">
      <xdr:nvSpPr>
        <xdr:cNvPr id="82" name="Fletxa corbada a l'esquerra 81">
          <a:hlinkClick xmlns:r="http://schemas.openxmlformats.org/officeDocument/2006/relationships" r:id="rId39"/>
        </xdr:cNvPr>
        <xdr:cNvSpPr/>
      </xdr:nvSpPr>
      <xdr:spPr>
        <a:xfrm>
          <a:off x="304800" y="6836092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28013</xdr:colOff>
      <xdr:row>690</xdr:row>
      <xdr:rowOff>123263</xdr:rowOff>
    </xdr:from>
    <xdr:to>
      <xdr:col>19</xdr:col>
      <xdr:colOff>425822</xdr:colOff>
      <xdr:row>711</xdr:row>
      <xdr:rowOff>99451</xdr:rowOff>
    </xdr:to>
    <xdr:graphicFrame macro="">
      <xdr:nvGraphicFramePr>
        <xdr:cNvPr id="85" name="Gràfic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2469" y="361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18</xdr:col>
      <xdr:colOff>476251</xdr:colOff>
      <xdr:row>41</xdr:row>
      <xdr:rowOff>119062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5" name="Fletxa corbada a l'esquerra 4">
          <a:hlinkClick xmlns:r="http://schemas.openxmlformats.org/officeDocument/2006/relationships" r:id="rId3"/>
        </xdr:cNvPr>
        <xdr:cNvSpPr/>
      </xdr:nvSpPr>
      <xdr:spPr>
        <a:xfrm>
          <a:off x="690563" y="9965532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56</xdr:row>
      <xdr:rowOff>47626</xdr:rowOff>
    </xdr:from>
    <xdr:to>
      <xdr:col>17</xdr:col>
      <xdr:colOff>523875</xdr:colOff>
      <xdr:row>84</xdr:row>
      <xdr:rowOff>130969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7" name="Fletxa corbada a l'esquerra 6">
          <a:hlinkClick xmlns:r="http://schemas.openxmlformats.org/officeDocument/2006/relationships" r:id="rId3"/>
        </xdr:cNvPr>
        <xdr:cNvSpPr/>
      </xdr:nvSpPr>
      <xdr:spPr>
        <a:xfrm>
          <a:off x="714375" y="1652587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96</xdr:row>
      <xdr:rowOff>23813</xdr:rowOff>
    </xdr:from>
    <xdr:to>
      <xdr:col>17</xdr:col>
      <xdr:colOff>415388</xdr:colOff>
      <xdr:row>124</xdr:row>
      <xdr:rowOff>107813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107156</xdr:colOff>
      <xdr:row>126</xdr:row>
      <xdr:rowOff>178593</xdr:rowOff>
    </xdr:from>
    <xdr:to>
      <xdr:col>2</xdr:col>
      <xdr:colOff>23813</xdr:colOff>
      <xdr:row>128</xdr:row>
      <xdr:rowOff>11906</xdr:rowOff>
    </xdr:to>
    <xdr:sp macro="" textlink="">
      <xdr:nvSpPr>
        <xdr:cNvPr id="13" name="Fletxa corbada a l'esquerra 12">
          <a:hlinkClick xmlns:r="http://schemas.openxmlformats.org/officeDocument/2006/relationships" r:id="rId3"/>
        </xdr:cNvPr>
        <xdr:cNvSpPr/>
      </xdr:nvSpPr>
      <xdr:spPr>
        <a:xfrm>
          <a:off x="714375" y="25729406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162</xdr:row>
      <xdr:rowOff>0</xdr:rowOff>
    </xdr:from>
    <xdr:to>
      <xdr:col>2</xdr:col>
      <xdr:colOff>11907</xdr:colOff>
      <xdr:row>163</xdr:row>
      <xdr:rowOff>23812</xdr:rowOff>
    </xdr:to>
    <xdr:sp macro="" textlink="">
      <xdr:nvSpPr>
        <xdr:cNvPr id="20" name="Fletxa corbada a l'esquerra 19">
          <a:hlinkClick xmlns:r="http://schemas.openxmlformats.org/officeDocument/2006/relationships" r:id="rId3"/>
        </xdr:cNvPr>
        <xdr:cNvSpPr/>
      </xdr:nvSpPr>
      <xdr:spPr>
        <a:xfrm>
          <a:off x="702469" y="385762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164</xdr:row>
      <xdr:rowOff>178592</xdr:rowOff>
    </xdr:from>
    <xdr:to>
      <xdr:col>19</xdr:col>
      <xdr:colOff>142874</xdr:colOff>
      <xdr:row>192</xdr:row>
      <xdr:rowOff>11906</xdr:rowOff>
    </xdr:to>
    <xdr:graphicFrame macro="">
      <xdr:nvGraphicFramePr>
        <xdr:cNvPr id="21" name="Gràfic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196</xdr:row>
      <xdr:rowOff>0</xdr:rowOff>
    </xdr:from>
    <xdr:to>
      <xdr:col>2</xdr:col>
      <xdr:colOff>23814</xdr:colOff>
      <xdr:row>197</xdr:row>
      <xdr:rowOff>23813</xdr:rowOff>
    </xdr:to>
    <xdr:sp macro="" textlink="">
      <xdr:nvSpPr>
        <xdr:cNvPr id="22" name="Fletxa corbada a l'esquerra 21">
          <a:hlinkClick xmlns:r="http://schemas.openxmlformats.org/officeDocument/2006/relationships" r:id="rId3"/>
        </xdr:cNvPr>
        <xdr:cNvSpPr/>
      </xdr:nvSpPr>
      <xdr:spPr>
        <a:xfrm>
          <a:off x="714376" y="45124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200</xdr:row>
      <xdr:rowOff>23811</xdr:rowOff>
    </xdr:from>
    <xdr:to>
      <xdr:col>18</xdr:col>
      <xdr:colOff>400501</xdr:colOff>
      <xdr:row>229</xdr:row>
      <xdr:rowOff>187311</xdr:rowOff>
    </xdr:to>
    <xdr:graphicFrame macro="">
      <xdr:nvGraphicFramePr>
        <xdr:cNvPr id="26" name="Gràfic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238</xdr:row>
      <xdr:rowOff>0</xdr:rowOff>
    </xdr:from>
    <xdr:to>
      <xdr:col>2</xdr:col>
      <xdr:colOff>23814</xdr:colOff>
      <xdr:row>239</xdr:row>
      <xdr:rowOff>23813</xdr:rowOff>
    </xdr:to>
    <xdr:sp macro="" textlink="">
      <xdr:nvSpPr>
        <xdr:cNvPr id="34" name="Fletxa corbada a l'esquerra 33">
          <a:hlinkClick xmlns:r="http://schemas.openxmlformats.org/officeDocument/2006/relationships" r:id="rId8"/>
        </xdr:cNvPr>
        <xdr:cNvSpPr/>
      </xdr:nvSpPr>
      <xdr:spPr>
        <a:xfrm>
          <a:off x="714376" y="45124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240</xdr:row>
      <xdr:rowOff>59531</xdr:rowOff>
    </xdr:from>
    <xdr:to>
      <xdr:col>14</xdr:col>
      <xdr:colOff>535782</xdr:colOff>
      <xdr:row>269</xdr:row>
      <xdr:rowOff>-1</xdr:rowOff>
    </xdr:to>
    <xdr:graphicFrame macro="">
      <xdr:nvGraphicFramePr>
        <xdr:cNvPr id="35" name="Gràfic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277</xdr:row>
      <xdr:rowOff>0</xdr:rowOff>
    </xdr:from>
    <xdr:to>
      <xdr:col>2</xdr:col>
      <xdr:colOff>23813</xdr:colOff>
      <xdr:row>278</xdr:row>
      <xdr:rowOff>23814</xdr:rowOff>
    </xdr:to>
    <xdr:sp macro="" textlink="">
      <xdr:nvSpPr>
        <xdr:cNvPr id="36" name="Fletxa corbada a l'esquerra 35">
          <a:hlinkClick xmlns:r="http://schemas.openxmlformats.org/officeDocument/2006/relationships" r:id="rId10"/>
        </xdr:cNvPr>
        <xdr:cNvSpPr/>
      </xdr:nvSpPr>
      <xdr:spPr>
        <a:xfrm>
          <a:off x="714375" y="93464063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279</xdr:row>
      <xdr:rowOff>23812</xdr:rowOff>
    </xdr:from>
    <xdr:to>
      <xdr:col>19</xdr:col>
      <xdr:colOff>59531</xdr:colOff>
      <xdr:row>308</xdr:row>
      <xdr:rowOff>166687</xdr:rowOff>
    </xdr:to>
    <xdr:graphicFrame macro="">
      <xdr:nvGraphicFramePr>
        <xdr:cNvPr id="37" name="Gràfic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202407</xdr:colOff>
      <xdr:row>129</xdr:row>
      <xdr:rowOff>35719</xdr:rowOff>
    </xdr:from>
    <xdr:to>
      <xdr:col>18</xdr:col>
      <xdr:colOff>119063</xdr:colOff>
      <xdr:row>159</xdr:row>
      <xdr:rowOff>95250</xdr:rowOff>
    </xdr:to>
    <xdr:graphicFrame macro="">
      <xdr:nvGraphicFramePr>
        <xdr:cNvPr id="23" name="Gràfic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488156</xdr:colOff>
      <xdr:row>313</xdr:row>
      <xdr:rowOff>71437</xdr:rowOff>
    </xdr:from>
    <xdr:to>
      <xdr:col>2</xdr:col>
      <xdr:colOff>35720</xdr:colOff>
      <xdr:row>315</xdr:row>
      <xdr:rowOff>35720</xdr:rowOff>
    </xdr:to>
    <xdr:pic>
      <xdr:nvPicPr>
        <xdr:cNvPr id="18" name="Imatge 22" descr="informacion-icono-8985-96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88156" y="64927162"/>
          <a:ext cx="423864" cy="42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qu.cat/uploads/insercio_laboral/enquesta2011/tecnica.html" TargetMode="External"/><Relationship Id="rId2" Type="http://schemas.openxmlformats.org/officeDocument/2006/relationships/hyperlink" Target="http://www.aqu.cat/uploads/insercio_laboral/enquesta2011/experimentals.html" TargetMode="External"/><Relationship Id="rId1" Type="http://schemas.openxmlformats.org/officeDocument/2006/relationships/hyperlink" Target="http://www.aqu.cat/uploads/insercio_laboral/enquesta2011/experimentals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showGridLines="0" tabSelected="1" workbookViewId="0">
      <selection activeCell="B30" sqref="B30"/>
    </sheetView>
  </sheetViews>
  <sheetFormatPr baseColWidth="10" defaultColWidth="9.140625" defaultRowHeight="15" x14ac:dyDescent="0.25"/>
  <cols>
    <col min="1" max="1" width="4.7109375" customWidth="1"/>
    <col min="2" max="2" width="10.140625" customWidth="1"/>
    <col min="3" max="3" width="13.28515625" customWidth="1"/>
  </cols>
  <sheetData>
    <row r="2" spans="2:16" s="1" customFormat="1" ht="47.25" customHeight="1" x14ac:dyDescent="0.25">
      <c r="B2" s="304" t="s">
        <v>384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6" s="1" customFormat="1" ht="18.75" customHeight="1" x14ac:dyDescent="0.25"/>
    <row r="4" spans="2:16" s="1" customFormat="1" ht="18.75" customHeight="1" x14ac:dyDescent="0.2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6" s="1" customFormat="1" ht="33.75" customHeight="1" x14ac:dyDescent="0.25">
      <c r="B5" s="125"/>
      <c r="C5" s="126"/>
      <c r="D5" s="126"/>
      <c r="E5" s="10"/>
      <c r="F5" s="10"/>
      <c r="G5" s="10"/>
      <c r="H5" s="10"/>
      <c r="I5" s="10"/>
      <c r="J5" s="10"/>
      <c r="K5" s="10"/>
    </row>
    <row r="7" spans="2:16" ht="33.75" x14ac:dyDescent="0.5">
      <c r="B7" s="305" t="s">
        <v>350</v>
      </c>
      <c r="C7" s="305"/>
      <c r="D7" s="305"/>
      <c r="E7" s="305"/>
    </row>
    <row r="11" spans="2:16" ht="18.75" x14ac:dyDescent="0.3">
      <c r="B11" s="306" t="s">
        <v>351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2:16" s="173" customFormat="1" ht="18.75" x14ac:dyDescent="0.3">
      <c r="B12" s="172"/>
      <c r="C12" s="172"/>
      <c r="D12" s="172"/>
      <c r="E12" s="172"/>
      <c r="F12" s="172"/>
      <c r="G12" s="172"/>
      <c r="H12" s="172"/>
      <c r="I12" s="172"/>
    </row>
    <row r="13" spans="2:16" x14ac:dyDescent="0.25">
      <c r="B13" s="174" t="s">
        <v>6</v>
      </c>
      <c r="C13" s="175"/>
      <c r="D13" t="s">
        <v>352</v>
      </c>
    </row>
    <row r="14" spans="2:16" x14ac:dyDescent="0.25">
      <c r="B14" s="174" t="s">
        <v>353</v>
      </c>
      <c r="C14" s="175"/>
      <c r="D14" t="s">
        <v>354</v>
      </c>
    </row>
    <row r="15" spans="2:16" x14ac:dyDescent="0.25">
      <c r="B15" s="174"/>
      <c r="C15" s="175"/>
      <c r="D15" t="s">
        <v>355</v>
      </c>
    </row>
    <row r="16" spans="2:16" x14ac:dyDescent="0.25">
      <c r="B16" s="174"/>
      <c r="C16" s="175"/>
      <c r="D16" t="s">
        <v>356</v>
      </c>
    </row>
    <row r="17" spans="2:13" x14ac:dyDescent="0.25">
      <c r="B17" s="174"/>
      <c r="C17" s="175"/>
    </row>
    <row r="18" spans="2:13" x14ac:dyDescent="0.25">
      <c r="B18" s="174" t="s">
        <v>357</v>
      </c>
      <c r="C18" s="175"/>
      <c r="D18" t="s">
        <v>358</v>
      </c>
    </row>
    <row r="19" spans="2:13" x14ac:dyDescent="0.25">
      <c r="B19" s="174" t="s">
        <v>359</v>
      </c>
      <c r="C19" s="175"/>
      <c r="D19" t="s">
        <v>360</v>
      </c>
    </row>
    <row r="20" spans="2:13" x14ac:dyDescent="0.25">
      <c r="B20" s="174"/>
      <c r="C20" s="175"/>
    </row>
    <row r="21" spans="2:13" x14ac:dyDescent="0.25">
      <c r="B21" s="176"/>
      <c r="C21" s="177"/>
    </row>
    <row r="22" spans="2:13" x14ac:dyDescent="0.25">
      <c r="B22" s="176"/>
      <c r="C22" s="177"/>
    </row>
    <row r="23" spans="2:13" x14ac:dyDescent="0.25">
      <c r="B23" s="176"/>
      <c r="C23" s="177"/>
    </row>
    <row r="24" spans="2:13" x14ac:dyDescent="0.25">
      <c r="B24" s="176"/>
      <c r="C24" s="177"/>
    </row>
    <row r="25" spans="2:13" ht="16.5" thickBot="1" x14ac:dyDescent="0.3">
      <c r="B25" s="178" t="s">
        <v>372</v>
      </c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2:13" ht="15.75" x14ac:dyDescent="0.25">
      <c r="B26" s="181"/>
      <c r="C26" s="177"/>
    </row>
    <row r="27" spans="2:13" x14ac:dyDescent="0.25">
      <c r="B27" s="176"/>
      <c r="C27" s="177"/>
    </row>
    <row r="28" spans="2:13" s="173" customFormat="1" x14ac:dyDescent="0.25">
      <c r="B28" s="176"/>
      <c r="C28" s="177"/>
      <c r="D28" s="182" t="s">
        <v>6</v>
      </c>
      <c r="E28" s="182" t="s">
        <v>361</v>
      </c>
      <c r="F28" s="182" t="s">
        <v>362</v>
      </c>
      <c r="G28" s="183" t="s">
        <v>363</v>
      </c>
    </row>
    <row r="29" spans="2:13" s="132" customFormat="1" ht="15" customHeight="1" x14ac:dyDescent="0.25">
      <c r="B29" s="307" t="s">
        <v>14</v>
      </c>
      <c r="C29" s="308"/>
      <c r="D29" s="184">
        <v>3736</v>
      </c>
      <c r="E29" s="185">
        <v>1789</v>
      </c>
      <c r="F29" s="186">
        <f>E29/D29</f>
        <v>0.47885438972162742</v>
      </c>
      <c r="G29" s="186">
        <f>1.96*(SQRT(((0.5^2)/E29)*((D29-E29)/(D29-1))))</f>
        <v>1.6728560760171648E-2</v>
      </c>
    </row>
  </sheetData>
  <mergeCells count="4">
    <mergeCell ref="B2:P2"/>
    <mergeCell ref="B7:E7"/>
    <mergeCell ref="B11:M11"/>
    <mergeCell ref="B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"/>
  <sheetViews>
    <sheetView showGridLines="0" zoomScale="90" zoomScaleNormal="90" workbookViewId="0">
      <selection activeCell="T51" sqref="T51"/>
    </sheetView>
  </sheetViews>
  <sheetFormatPr baseColWidth="10" defaultColWidth="9.140625" defaultRowHeight="15" x14ac:dyDescent="0.25"/>
  <cols>
    <col min="1" max="1" width="4.7109375" customWidth="1"/>
  </cols>
  <sheetData>
    <row r="2" spans="2:19" s="1" customFormat="1" ht="47.25" customHeight="1" x14ac:dyDescent="0.25">
      <c r="B2" s="304" t="str">
        <f>'Fitxa Tècnica'!B2:P2</f>
        <v>UNIVERSITAT POLITÈCNICA DE CATALUNYA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2:19" s="1" customFormat="1" ht="18.75" customHeight="1" x14ac:dyDescent="0.25"/>
    <row r="4" spans="2:19" s="1" customFormat="1" ht="18.75" customHeight="1" x14ac:dyDescent="0.2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9" s="1" customFormat="1" ht="33.75" customHeight="1" x14ac:dyDescent="0.25">
      <c r="B5" s="125"/>
      <c r="C5" s="126"/>
      <c r="D5" s="126"/>
      <c r="E5" s="10"/>
      <c r="F5" s="10"/>
      <c r="G5" s="10"/>
      <c r="H5" s="10"/>
      <c r="I5" s="10"/>
      <c r="J5" s="10"/>
      <c r="K5" s="10"/>
    </row>
    <row r="7" spans="2:19" ht="33.75" x14ac:dyDescent="0.5">
      <c r="B7" s="190" t="s">
        <v>364</v>
      </c>
      <c r="C7" s="190"/>
    </row>
  </sheetData>
  <mergeCells count="1">
    <mergeCell ref="B2:S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1"/>
  <sheetViews>
    <sheetView showGridLines="0" topLeftCell="A49" zoomScale="90" zoomScaleNormal="90" workbookViewId="0">
      <selection activeCell="B3" sqref="B3"/>
    </sheetView>
  </sheetViews>
  <sheetFormatPr baseColWidth="10" defaultColWidth="9.140625" defaultRowHeight="15" x14ac:dyDescent="0.25"/>
  <cols>
    <col min="1" max="1" width="4.7109375" customWidth="1"/>
  </cols>
  <sheetData>
    <row r="2" spans="2:16" s="1" customFormat="1" ht="47.25" customHeight="1" x14ac:dyDescent="0.25">
      <c r="B2" s="304" t="str">
        <f>'Fitxa Tècnica'!B2:P2</f>
        <v>UNIVERSITAT POLITÈCNICA DE CATALUNYA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6" s="1" customFormat="1" ht="18.75" customHeight="1" x14ac:dyDescent="0.25"/>
    <row r="4" spans="2:16" s="1" customFormat="1" ht="18.75" customHeight="1" x14ac:dyDescent="0.2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6" s="1" customFormat="1" ht="33.75" customHeight="1" x14ac:dyDescent="0.25">
      <c r="B5" s="125"/>
      <c r="C5" s="126"/>
      <c r="D5" s="126"/>
      <c r="E5" s="10"/>
      <c r="F5" s="10"/>
      <c r="G5" s="10"/>
      <c r="H5" s="10"/>
      <c r="I5" s="10"/>
      <c r="J5" s="10"/>
      <c r="K5" s="10"/>
    </row>
    <row r="6" spans="2:16" ht="31.5" x14ac:dyDescent="0.5">
      <c r="H6" s="165"/>
    </row>
    <row r="7" spans="2:16" ht="33.75" x14ac:dyDescent="0.5">
      <c r="B7" s="305" t="s">
        <v>373</v>
      </c>
      <c r="C7" s="305"/>
    </row>
    <row r="8" spans="2:16" ht="18" customHeight="1" x14ac:dyDescent="0.5">
      <c r="B8" s="155"/>
      <c r="C8" s="155"/>
    </row>
    <row r="9" spans="2:16" s="152" customFormat="1" ht="15.75" customHeight="1" x14ac:dyDescent="0.2">
      <c r="B9" s="156" t="s">
        <v>330</v>
      </c>
      <c r="C9" s="157"/>
      <c r="D9" s="157"/>
      <c r="E9" s="157"/>
      <c r="F9" s="158"/>
      <c r="I9" s="152" t="s">
        <v>333</v>
      </c>
    </row>
    <row r="10" spans="2:16" ht="15.75" customHeight="1" x14ac:dyDescent="0.25">
      <c r="B10" s="159" t="s">
        <v>332</v>
      </c>
      <c r="C10" s="160"/>
      <c r="D10" s="160"/>
      <c r="E10" s="160"/>
      <c r="F10" s="161"/>
    </row>
    <row r="11" spans="2:16" ht="15.75" customHeight="1" x14ac:dyDescent="0.25">
      <c r="B11" s="162" t="s">
        <v>331</v>
      </c>
      <c r="C11" s="163"/>
      <c r="D11" s="163"/>
      <c r="E11" s="163"/>
      <c r="F11" s="164"/>
    </row>
    <row r="15" spans="2:16" ht="15.75" thickBot="1" x14ac:dyDescent="0.3">
      <c r="B15" s="65" t="s">
        <v>202</v>
      </c>
      <c r="C15" s="65"/>
      <c r="D15" s="65"/>
      <c r="E15" s="65"/>
      <c r="F15" s="65"/>
      <c r="G15" s="65"/>
      <c r="H15" s="65"/>
      <c r="I15" s="65"/>
      <c r="J15" s="65"/>
    </row>
    <row r="16" spans="2:16" x14ac:dyDescent="0.25">
      <c r="C16" t="s">
        <v>203</v>
      </c>
    </row>
    <row r="17" spans="2:10" x14ac:dyDescent="0.25">
      <c r="C17" t="s">
        <v>204</v>
      </c>
    </row>
    <row r="18" spans="2:10" x14ac:dyDescent="0.25">
      <c r="C18" t="s">
        <v>205</v>
      </c>
    </row>
    <row r="19" spans="2:10" x14ac:dyDescent="0.25">
      <c r="C19" t="s">
        <v>374</v>
      </c>
    </row>
    <row r="21" spans="2:10" ht="15.75" thickBot="1" x14ac:dyDescent="0.3">
      <c r="B21" s="65" t="s">
        <v>206</v>
      </c>
      <c r="C21" s="65"/>
      <c r="D21" s="65"/>
      <c r="E21" s="65"/>
      <c r="F21" s="65"/>
      <c r="G21" s="65"/>
      <c r="H21" s="65"/>
      <c r="I21" s="65"/>
      <c r="J21" s="65"/>
    </row>
    <row r="22" spans="2:10" x14ac:dyDescent="0.25">
      <c r="B22" s="67" t="s">
        <v>207</v>
      </c>
    </row>
    <row r="24" spans="2:10" x14ac:dyDescent="0.25">
      <c r="B24" s="77" t="s">
        <v>208</v>
      </c>
      <c r="C24" s="78"/>
      <c r="D24" s="78"/>
      <c r="E24" s="78"/>
      <c r="F24" s="79"/>
    </row>
    <row r="25" spans="2:10" x14ac:dyDescent="0.25">
      <c r="C25" t="s">
        <v>294</v>
      </c>
    </row>
    <row r="26" spans="2:10" x14ac:dyDescent="0.25">
      <c r="C26" t="s">
        <v>220</v>
      </c>
    </row>
    <row r="28" spans="2:10" x14ac:dyDescent="0.25">
      <c r="B28" s="68" t="s">
        <v>209</v>
      </c>
      <c r="C28" s="66"/>
      <c r="D28" s="66"/>
      <c r="E28" s="66"/>
    </row>
    <row r="29" spans="2:10" x14ac:dyDescent="0.25">
      <c r="C29" t="s">
        <v>221</v>
      </c>
    </row>
    <row r="30" spans="2:10" x14ac:dyDescent="0.25">
      <c r="C30" t="s">
        <v>222</v>
      </c>
    </row>
    <row r="31" spans="2:10" x14ac:dyDescent="0.25">
      <c r="C31" t="s">
        <v>223</v>
      </c>
    </row>
    <row r="32" spans="2:10" x14ac:dyDescent="0.25">
      <c r="C32" t="s">
        <v>224</v>
      </c>
    </row>
    <row r="33" spans="2:6" x14ac:dyDescent="0.25">
      <c r="C33" t="s">
        <v>225</v>
      </c>
    </row>
    <row r="34" spans="2:6" x14ac:dyDescent="0.25">
      <c r="C34" t="s">
        <v>226</v>
      </c>
    </row>
    <row r="35" spans="2:6" x14ac:dyDescent="0.25">
      <c r="C35" t="s">
        <v>227</v>
      </c>
    </row>
    <row r="36" spans="2:6" x14ac:dyDescent="0.25">
      <c r="C36" t="s">
        <v>228</v>
      </c>
    </row>
    <row r="37" spans="2:6" x14ac:dyDescent="0.25">
      <c r="C37" t="s">
        <v>229</v>
      </c>
    </row>
    <row r="38" spans="2:6" x14ac:dyDescent="0.25">
      <c r="C38" t="s">
        <v>230</v>
      </c>
    </row>
    <row r="40" spans="2:6" x14ac:dyDescent="0.25">
      <c r="B40" s="68" t="s">
        <v>210</v>
      </c>
      <c r="C40" s="66"/>
      <c r="D40" s="66"/>
      <c r="E40" s="66"/>
    </row>
    <row r="41" spans="2:6" x14ac:dyDescent="0.25">
      <c r="B41" s="66"/>
      <c r="C41" s="66"/>
      <c r="D41" s="66"/>
      <c r="E41" s="66"/>
    </row>
    <row r="42" spans="2:6" x14ac:dyDescent="0.25">
      <c r="B42" s="68" t="s">
        <v>211</v>
      </c>
      <c r="C42" s="66"/>
      <c r="D42" s="66"/>
      <c r="E42" s="66"/>
      <c r="F42" s="66"/>
    </row>
    <row r="43" spans="2:6" x14ac:dyDescent="0.25">
      <c r="B43" s="68"/>
      <c r="C43" s="66"/>
      <c r="D43" s="66"/>
      <c r="E43" s="66"/>
      <c r="F43" s="66"/>
    </row>
    <row r="44" spans="2:6" x14ac:dyDescent="0.25">
      <c r="B44" s="68" t="s">
        <v>212</v>
      </c>
      <c r="C44" s="66"/>
      <c r="D44" s="66"/>
      <c r="E44" s="66"/>
      <c r="F44" s="66"/>
    </row>
    <row r="45" spans="2:6" x14ac:dyDescent="0.25">
      <c r="C45" t="s">
        <v>213</v>
      </c>
    </row>
    <row r="46" spans="2:6" x14ac:dyDescent="0.25">
      <c r="C46" t="s">
        <v>214</v>
      </c>
    </row>
    <row r="47" spans="2:6" x14ac:dyDescent="0.25">
      <c r="C47" t="s">
        <v>215</v>
      </c>
    </row>
    <row r="48" spans="2:6" x14ac:dyDescent="0.25">
      <c r="C48" t="s">
        <v>216</v>
      </c>
    </row>
    <row r="50" spans="2:10" ht="15.75" thickBot="1" x14ac:dyDescent="0.3">
      <c r="B50" s="65" t="s">
        <v>375</v>
      </c>
      <c r="C50" s="65"/>
      <c r="D50" s="65"/>
      <c r="E50" s="65"/>
      <c r="F50" s="65"/>
      <c r="G50" s="65"/>
      <c r="H50" s="65"/>
      <c r="I50" s="65"/>
      <c r="J50" s="65"/>
    </row>
    <row r="51" spans="2:10" x14ac:dyDescent="0.25">
      <c r="B51" s="67" t="s">
        <v>312</v>
      </c>
    </row>
    <row r="53" spans="2:10" x14ac:dyDescent="0.25">
      <c r="B53" s="68" t="s">
        <v>217</v>
      </c>
      <c r="C53" s="66"/>
      <c r="D53" s="66"/>
    </row>
    <row r="54" spans="2:10" x14ac:dyDescent="0.25">
      <c r="B54" s="68"/>
      <c r="C54" t="s">
        <v>238</v>
      </c>
      <c r="D54" s="66"/>
    </row>
    <row r="55" spans="2:10" x14ac:dyDescent="0.25">
      <c r="B55" s="68"/>
      <c r="C55" t="s">
        <v>236</v>
      </c>
      <c r="D55" s="66"/>
    </row>
    <row r="56" spans="2:10" x14ac:dyDescent="0.25">
      <c r="B56" s="68"/>
      <c r="C56" t="s">
        <v>237</v>
      </c>
      <c r="D56" s="66"/>
    </row>
    <row r="57" spans="2:10" x14ac:dyDescent="0.25">
      <c r="B57" s="68"/>
      <c r="C57" t="s">
        <v>295</v>
      </c>
      <c r="D57" s="66"/>
    </row>
    <row r="58" spans="2:10" x14ac:dyDescent="0.25">
      <c r="B58" s="66"/>
      <c r="C58" s="66"/>
      <c r="D58" s="66"/>
    </row>
    <row r="59" spans="2:10" x14ac:dyDescent="0.25">
      <c r="B59" s="68" t="s">
        <v>218</v>
      </c>
      <c r="C59" s="66"/>
      <c r="D59" s="66"/>
    </row>
    <row r="60" spans="2:10" x14ac:dyDescent="0.25">
      <c r="B60" s="69"/>
    </row>
    <row r="61" spans="2:10" ht="15.75" thickBot="1" x14ac:dyDescent="0.3">
      <c r="B61" s="65" t="s">
        <v>219</v>
      </c>
      <c r="C61" s="65"/>
      <c r="D61" s="65"/>
      <c r="E61" s="65"/>
      <c r="F61" s="65"/>
      <c r="G61" s="65"/>
      <c r="H61" s="65"/>
      <c r="I61" s="65"/>
      <c r="J61" s="65"/>
    </row>
    <row r="63" spans="2:10" x14ac:dyDescent="0.25">
      <c r="C63" t="s">
        <v>296</v>
      </c>
    </row>
    <row r="64" spans="2:10" x14ac:dyDescent="0.25">
      <c r="C64" t="s">
        <v>297</v>
      </c>
    </row>
    <row r="65" spans="2:10" x14ac:dyDescent="0.25">
      <c r="C65" t="s">
        <v>232</v>
      </c>
    </row>
    <row r="67" spans="2:10" ht="15.75" thickBot="1" x14ac:dyDescent="0.3">
      <c r="B67" s="65" t="s">
        <v>231</v>
      </c>
      <c r="C67" s="65"/>
      <c r="D67" s="65"/>
      <c r="E67" s="65"/>
      <c r="F67" s="65"/>
      <c r="G67" s="65"/>
      <c r="H67" s="65"/>
      <c r="I67" s="65"/>
      <c r="J67" s="65"/>
    </row>
    <row r="69" spans="2:10" x14ac:dyDescent="0.25">
      <c r="C69" t="s">
        <v>233</v>
      </c>
    </row>
    <row r="70" spans="2:10" x14ac:dyDescent="0.25">
      <c r="C70" t="s">
        <v>234</v>
      </c>
    </row>
    <row r="71" spans="2:10" x14ac:dyDescent="0.25">
      <c r="C71" t="s">
        <v>235</v>
      </c>
    </row>
  </sheetData>
  <mergeCells count="2">
    <mergeCell ref="B7:C7"/>
    <mergeCell ref="B2:P2"/>
  </mergeCells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59"/>
  <sheetViews>
    <sheetView topLeftCell="A52" zoomScale="80" zoomScaleNormal="80" workbookViewId="0">
      <selection activeCell="J6" sqref="J6"/>
    </sheetView>
  </sheetViews>
  <sheetFormatPr baseColWidth="10" defaultColWidth="11.42578125" defaultRowHeight="18.75" customHeight="1" x14ac:dyDescent="0.25"/>
  <cols>
    <col min="1" max="2" width="4.5703125" style="1" customWidth="1"/>
    <col min="3" max="3" width="32.7109375" style="1" customWidth="1"/>
    <col min="4" max="4" width="13.7109375" style="1" customWidth="1"/>
    <col min="5" max="11" width="12" style="1" customWidth="1"/>
    <col min="12" max="12" width="11.85546875" style="1" customWidth="1"/>
    <col min="13" max="13" width="10.85546875" style="1" customWidth="1"/>
    <col min="14" max="14" width="13.140625" style="1" customWidth="1"/>
    <col min="15" max="15" width="10.85546875" style="1" customWidth="1"/>
    <col min="16" max="16" width="12.7109375" style="1" customWidth="1"/>
    <col min="17" max="17" width="10.28515625" style="1" customWidth="1"/>
    <col min="18" max="27" width="10.85546875" style="1" customWidth="1"/>
    <col min="28" max="258" width="11.42578125" style="1"/>
    <col min="259" max="259" width="32.7109375" style="1" bestFit="1" customWidth="1"/>
    <col min="260" max="260" width="13.7109375" style="1" customWidth="1"/>
    <col min="261" max="267" width="12" style="1" customWidth="1"/>
    <col min="268" max="268" width="11.85546875" style="1" customWidth="1"/>
    <col min="269" max="269" width="10.85546875" style="1" customWidth="1"/>
    <col min="270" max="270" width="13.140625" style="1" bestFit="1" customWidth="1"/>
    <col min="271" max="271" width="10.85546875" style="1" customWidth="1"/>
    <col min="272" max="272" width="12.7109375" style="1" customWidth="1"/>
    <col min="273" max="273" width="10.28515625" style="1" customWidth="1"/>
    <col min="274" max="283" width="10.85546875" style="1" customWidth="1"/>
    <col min="284" max="514" width="11.42578125" style="1"/>
    <col min="515" max="515" width="32.7109375" style="1" bestFit="1" customWidth="1"/>
    <col min="516" max="516" width="13.7109375" style="1" customWidth="1"/>
    <col min="517" max="523" width="12" style="1" customWidth="1"/>
    <col min="524" max="524" width="11.85546875" style="1" customWidth="1"/>
    <col min="525" max="525" width="10.85546875" style="1" customWidth="1"/>
    <col min="526" max="526" width="13.140625" style="1" bestFit="1" customWidth="1"/>
    <col min="527" max="527" width="10.85546875" style="1" customWidth="1"/>
    <col min="528" max="528" width="12.7109375" style="1" customWidth="1"/>
    <col min="529" max="529" width="10.28515625" style="1" customWidth="1"/>
    <col min="530" max="539" width="10.85546875" style="1" customWidth="1"/>
    <col min="540" max="770" width="11.42578125" style="1"/>
    <col min="771" max="771" width="32.7109375" style="1" bestFit="1" customWidth="1"/>
    <col min="772" max="772" width="13.7109375" style="1" customWidth="1"/>
    <col min="773" max="779" width="12" style="1" customWidth="1"/>
    <col min="780" max="780" width="11.85546875" style="1" customWidth="1"/>
    <col min="781" max="781" width="10.85546875" style="1" customWidth="1"/>
    <col min="782" max="782" width="13.140625" style="1" bestFit="1" customWidth="1"/>
    <col min="783" max="783" width="10.85546875" style="1" customWidth="1"/>
    <col min="784" max="784" width="12.7109375" style="1" customWidth="1"/>
    <col min="785" max="785" width="10.28515625" style="1" customWidth="1"/>
    <col min="786" max="795" width="10.85546875" style="1" customWidth="1"/>
    <col min="796" max="1026" width="11.42578125" style="1"/>
    <col min="1027" max="1027" width="32.7109375" style="1" bestFit="1" customWidth="1"/>
    <col min="1028" max="1028" width="13.7109375" style="1" customWidth="1"/>
    <col min="1029" max="1035" width="12" style="1" customWidth="1"/>
    <col min="1036" max="1036" width="11.85546875" style="1" customWidth="1"/>
    <col min="1037" max="1037" width="10.85546875" style="1" customWidth="1"/>
    <col min="1038" max="1038" width="13.140625" style="1" bestFit="1" customWidth="1"/>
    <col min="1039" max="1039" width="10.85546875" style="1" customWidth="1"/>
    <col min="1040" max="1040" width="12.7109375" style="1" customWidth="1"/>
    <col min="1041" max="1041" width="10.28515625" style="1" customWidth="1"/>
    <col min="1042" max="1051" width="10.85546875" style="1" customWidth="1"/>
    <col min="1052" max="1282" width="11.42578125" style="1"/>
    <col min="1283" max="1283" width="32.7109375" style="1" bestFit="1" customWidth="1"/>
    <col min="1284" max="1284" width="13.7109375" style="1" customWidth="1"/>
    <col min="1285" max="1291" width="12" style="1" customWidth="1"/>
    <col min="1292" max="1292" width="11.85546875" style="1" customWidth="1"/>
    <col min="1293" max="1293" width="10.85546875" style="1" customWidth="1"/>
    <col min="1294" max="1294" width="13.140625" style="1" bestFit="1" customWidth="1"/>
    <col min="1295" max="1295" width="10.85546875" style="1" customWidth="1"/>
    <col min="1296" max="1296" width="12.7109375" style="1" customWidth="1"/>
    <col min="1297" max="1297" width="10.28515625" style="1" customWidth="1"/>
    <col min="1298" max="1307" width="10.85546875" style="1" customWidth="1"/>
    <col min="1308" max="1538" width="11.42578125" style="1"/>
    <col min="1539" max="1539" width="32.7109375" style="1" bestFit="1" customWidth="1"/>
    <col min="1540" max="1540" width="13.7109375" style="1" customWidth="1"/>
    <col min="1541" max="1547" width="12" style="1" customWidth="1"/>
    <col min="1548" max="1548" width="11.85546875" style="1" customWidth="1"/>
    <col min="1549" max="1549" width="10.85546875" style="1" customWidth="1"/>
    <col min="1550" max="1550" width="13.140625" style="1" bestFit="1" customWidth="1"/>
    <col min="1551" max="1551" width="10.85546875" style="1" customWidth="1"/>
    <col min="1552" max="1552" width="12.7109375" style="1" customWidth="1"/>
    <col min="1553" max="1553" width="10.28515625" style="1" customWidth="1"/>
    <col min="1554" max="1563" width="10.85546875" style="1" customWidth="1"/>
    <col min="1564" max="1794" width="11.42578125" style="1"/>
    <col min="1795" max="1795" width="32.7109375" style="1" bestFit="1" customWidth="1"/>
    <col min="1796" max="1796" width="13.7109375" style="1" customWidth="1"/>
    <col min="1797" max="1803" width="12" style="1" customWidth="1"/>
    <col min="1804" max="1804" width="11.85546875" style="1" customWidth="1"/>
    <col min="1805" max="1805" width="10.85546875" style="1" customWidth="1"/>
    <col min="1806" max="1806" width="13.140625" style="1" bestFit="1" customWidth="1"/>
    <col min="1807" max="1807" width="10.85546875" style="1" customWidth="1"/>
    <col min="1808" max="1808" width="12.7109375" style="1" customWidth="1"/>
    <col min="1809" max="1809" width="10.28515625" style="1" customWidth="1"/>
    <col min="1810" max="1819" width="10.85546875" style="1" customWidth="1"/>
    <col min="1820" max="2050" width="11.42578125" style="1"/>
    <col min="2051" max="2051" width="32.7109375" style="1" bestFit="1" customWidth="1"/>
    <col min="2052" max="2052" width="13.7109375" style="1" customWidth="1"/>
    <col min="2053" max="2059" width="12" style="1" customWidth="1"/>
    <col min="2060" max="2060" width="11.85546875" style="1" customWidth="1"/>
    <col min="2061" max="2061" width="10.85546875" style="1" customWidth="1"/>
    <col min="2062" max="2062" width="13.140625" style="1" bestFit="1" customWidth="1"/>
    <col min="2063" max="2063" width="10.85546875" style="1" customWidth="1"/>
    <col min="2064" max="2064" width="12.7109375" style="1" customWidth="1"/>
    <col min="2065" max="2065" width="10.28515625" style="1" customWidth="1"/>
    <col min="2066" max="2075" width="10.85546875" style="1" customWidth="1"/>
    <col min="2076" max="2306" width="11.42578125" style="1"/>
    <col min="2307" max="2307" width="32.7109375" style="1" bestFit="1" customWidth="1"/>
    <col min="2308" max="2308" width="13.7109375" style="1" customWidth="1"/>
    <col min="2309" max="2315" width="12" style="1" customWidth="1"/>
    <col min="2316" max="2316" width="11.85546875" style="1" customWidth="1"/>
    <col min="2317" max="2317" width="10.85546875" style="1" customWidth="1"/>
    <col min="2318" max="2318" width="13.140625" style="1" bestFit="1" customWidth="1"/>
    <col min="2319" max="2319" width="10.85546875" style="1" customWidth="1"/>
    <col min="2320" max="2320" width="12.7109375" style="1" customWidth="1"/>
    <col min="2321" max="2321" width="10.28515625" style="1" customWidth="1"/>
    <col min="2322" max="2331" width="10.85546875" style="1" customWidth="1"/>
    <col min="2332" max="2562" width="11.42578125" style="1"/>
    <col min="2563" max="2563" width="32.7109375" style="1" bestFit="1" customWidth="1"/>
    <col min="2564" max="2564" width="13.7109375" style="1" customWidth="1"/>
    <col min="2565" max="2571" width="12" style="1" customWidth="1"/>
    <col min="2572" max="2572" width="11.85546875" style="1" customWidth="1"/>
    <col min="2573" max="2573" width="10.85546875" style="1" customWidth="1"/>
    <col min="2574" max="2574" width="13.140625" style="1" bestFit="1" customWidth="1"/>
    <col min="2575" max="2575" width="10.85546875" style="1" customWidth="1"/>
    <col min="2576" max="2576" width="12.7109375" style="1" customWidth="1"/>
    <col min="2577" max="2577" width="10.28515625" style="1" customWidth="1"/>
    <col min="2578" max="2587" width="10.85546875" style="1" customWidth="1"/>
    <col min="2588" max="2818" width="11.42578125" style="1"/>
    <col min="2819" max="2819" width="32.7109375" style="1" bestFit="1" customWidth="1"/>
    <col min="2820" max="2820" width="13.7109375" style="1" customWidth="1"/>
    <col min="2821" max="2827" width="12" style="1" customWidth="1"/>
    <col min="2828" max="2828" width="11.85546875" style="1" customWidth="1"/>
    <col min="2829" max="2829" width="10.85546875" style="1" customWidth="1"/>
    <col min="2830" max="2830" width="13.140625" style="1" bestFit="1" customWidth="1"/>
    <col min="2831" max="2831" width="10.85546875" style="1" customWidth="1"/>
    <col min="2832" max="2832" width="12.7109375" style="1" customWidth="1"/>
    <col min="2833" max="2833" width="10.28515625" style="1" customWidth="1"/>
    <col min="2834" max="2843" width="10.85546875" style="1" customWidth="1"/>
    <col min="2844" max="3074" width="11.42578125" style="1"/>
    <col min="3075" max="3075" width="32.7109375" style="1" bestFit="1" customWidth="1"/>
    <col min="3076" max="3076" width="13.7109375" style="1" customWidth="1"/>
    <col min="3077" max="3083" width="12" style="1" customWidth="1"/>
    <col min="3084" max="3084" width="11.85546875" style="1" customWidth="1"/>
    <col min="3085" max="3085" width="10.85546875" style="1" customWidth="1"/>
    <col min="3086" max="3086" width="13.140625" style="1" bestFit="1" customWidth="1"/>
    <col min="3087" max="3087" width="10.85546875" style="1" customWidth="1"/>
    <col min="3088" max="3088" width="12.7109375" style="1" customWidth="1"/>
    <col min="3089" max="3089" width="10.28515625" style="1" customWidth="1"/>
    <col min="3090" max="3099" width="10.85546875" style="1" customWidth="1"/>
    <col min="3100" max="3330" width="11.42578125" style="1"/>
    <col min="3331" max="3331" width="32.7109375" style="1" bestFit="1" customWidth="1"/>
    <col min="3332" max="3332" width="13.7109375" style="1" customWidth="1"/>
    <col min="3333" max="3339" width="12" style="1" customWidth="1"/>
    <col min="3340" max="3340" width="11.85546875" style="1" customWidth="1"/>
    <col min="3341" max="3341" width="10.85546875" style="1" customWidth="1"/>
    <col min="3342" max="3342" width="13.140625" style="1" bestFit="1" customWidth="1"/>
    <col min="3343" max="3343" width="10.85546875" style="1" customWidth="1"/>
    <col min="3344" max="3344" width="12.7109375" style="1" customWidth="1"/>
    <col min="3345" max="3345" width="10.28515625" style="1" customWidth="1"/>
    <col min="3346" max="3355" width="10.85546875" style="1" customWidth="1"/>
    <col min="3356" max="3586" width="11.42578125" style="1"/>
    <col min="3587" max="3587" width="32.7109375" style="1" bestFit="1" customWidth="1"/>
    <col min="3588" max="3588" width="13.7109375" style="1" customWidth="1"/>
    <col min="3589" max="3595" width="12" style="1" customWidth="1"/>
    <col min="3596" max="3596" width="11.85546875" style="1" customWidth="1"/>
    <col min="3597" max="3597" width="10.85546875" style="1" customWidth="1"/>
    <col min="3598" max="3598" width="13.140625" style="1" bestFit="1" customWidth="1"/>
    <col min="3599" max="3599" width="10.85546875" style="1" customWidth="1"/>
    <col min="3600" max="3600" width="12.7109375" style="1" customWidth="1"/>
    <col min="3601" max="3601" width="10.28515625" style="1" customWidth="1"/>
    <col min="3602" max="3611" width="10.85546875" style="1" customWidth="1"/>
    <col min="3612" max="3842" width="11.42578125" style="1"/>
    <col min="3843" max="3843" width="32.7109375" style="1" bestFit="1" customWidth="1"/>
    <col min="3844" max="3844" width="13.7109375" style="1" customWidth="1"/>
    <col min="3845" max="3851" width="12" style="1" customWidth="1"/>
    <col min="3852" max="3852" width="11.85546875" style="1" customWidth="1"/>
    <col min="3853" max="3853" width="10.85546875" style="1" customWidth="1"/>
    <col min="3854" max="3854" width="13.140625" style="1" bestFit="1" customWidth="1"/>
    <col min="3855" max="3855" width="10.85546875" style="1" customWidth="1"/>
    <col min="3856" max="3856" width="12.7109375" style="1" customWidth="1"/>
    <col min="3857" max="3857" width="10.28515625" style="1" customWidth="1"/>
    <col min="3858" max="3867" width="10.85546875" style="1" customWidth="1"/>
    <col min="3868" max="4098" width="11.42578125" style="1"/>
    <col min="4099" max="4099" width="32.7109375" style="1" bestFit="1" customWidth="1"/>
    <col min="4100" max="4100" width="13.7109375" style="1" customWidth="1"/>
    <col min="4101" max="4107" width="12" style="1" customWidth="1"/>
    <col min="4108" max="4108" width="11.85546875" style="1" customWidth="1"/>
    <col min="4109" max="4109" width="10.85546875" style="1" customWidth="1"/>
    <col min="4110" max="4110" width="13.140625" style="1" bestFit="1" customWidth="1"/>
    <col min="4111" max="4111" width="10.85546875" style="1" customWidth="1"/>
    <col min="4112" max="4112" width="12.7109375" style="1" customWidth="1"/>
    <col min="4113" max="4113" width="10.28515625" style="1" customWidth="1"/>
    <col min="4114" max="4123" width="10.85546875" style="1" customWidth="1"/>
    <col min="4124" max="4354" width="11.42578125" style="1"/>
    <col min="4355" max="4355" width="32.7109375" style="1" bestFit="1" customWidth="1"/>
    <col min="4356" max="4356" width="13.7109375" style="1" customWidth="1"/>
    <col min="4357" max="4363" width="12" style="1" customWidth="1"/>
    <col min="4364" max="4364" width="11.85546875" style="1" customWidth="1"/>
    <col min="4365" max="4365" width="10.85546875" style="1" customWidth="1"/>
    <col min="4366" max="4366" width="13.140625" style="1" bestFit="1" customWidth="1"/>
    <col min="4367" max="4367" width="10.85546875" style="1" customWidth="1"/>
    <col min="4368" max="4368" width="12.7109375" style="1" customWidth="1"/>
    <col min="4369" max="4369" width="10.28515625" style="1" customWidth="1"/>
    <col min="4370" max="4379" width="10.85546875" style="1" customWidth="1"/>
    <col min="4380" max="4610" width="11.42578125" style="1"/>
    <col min="4611" max="4611" width="32.7109375" style="1" bestFit="1" customWidth="1"/>
    <col min="4612" max="4612" width="13.7109375" style="1" customWidth="1"/>
    <col min="4613" max="4619" width="12" style="1" customWidth="1"/>
    <col min="4620" max="4620" width="11.85546875" style="1" customWidth="1"/>
    <col min="4621" max="4621" width="10.85546875" style="1" customWidth="1"/>
    <col min="4622" max="4622" width="13.140625" style="1" bestFit="1" customWidth="1"/>
    <col min="4623" max="4623" width="10.85546875" style="1" customWidth="1"/>
    <col min="4624" max="4624" width="12.7109375" style="1" customWidth="1"/>
    <col min="4625" max="4625" width="10.28515625" style="1" customWidth="1"/>
    <col min="4626" max="4635" width="10.85546875" style="1" customWidth="1"/>
    <col min="4636" max="4866" width="11.42578125" style="1"/>
    <col min="4867" max="4867" width="32.7109375" style="1" bestFit="1" customWidth="1"/>
    <col min="4868" max="4868" width="13.7109375" style="1" customWidth="1"/>
    <col min="4869" max="4875" width="12" style="1" customWidth="1"/>
    <col min="4876" max="4876" width="11.85546875" style="1" customWidth="1"/>
    <col min="4877" max="4877" width="10.85546875" style="1" customWidth="1"/>
    <col min="4878" max="4878" width="13.140625" style="1" bestFit="1" customWidth="1"/>
    <col min="4879" max="4879" width="10.85546875" style="1" customWidth="1"/>
    <col min="4880" max="4880" width="12.7109375" style="1" customWidth="1"/>
    <col min="4881" max="4881" width="10.28515625" style="1" customWidth="1"/>
    <col min="4882" max="4891" width="10.85546875" style="1" customWidth="1"/>
    <col min="4892" max="5122" width="11.42578125" style="1"/>
    <col min="5123" max="5123" width="32.7109375" style="1" bestFit="1" customWidth="1"/>
    <col min="5124" max="5124" width="13.7109375" style="1" customWidth="1"/>
    <col min="5125" max="5131" width="12" style="1" customWidth="1"/>
    <col min="5132" max="5132" width="11.85546875" style="1" customWidth="1"/>
    <col min="5133" max="5133" width="10.85546875" style="1" customWidth="1"/>
    <col min="5134" max="5134" width="13.140625" style="1" bestFit="1" customWidth="1"/>
    <col min="5135" max="5135" width="10.85546875" style="1" customWidth="1"/>
    <col min="5136" max="5136" width="12.7109375" style="1" customWidth="1"/>
    <col min="5137" max="5137" width="10.28515625" style="1" customWidth="1"/>
    <col min="5138" max="5147" width="10.85546875" style="1" customWidth="1"/>
    <col min="5148" max="5378" width="11.42578125" style="1"/>
    <col min="5379" max="5379" width="32.7109375" style="1" bestFit="1" customWidth="1"/>
    <col min="5380" max="5380" width="13.7109375" style="1" customWidth="1"/>
    <col min="5381" max="5387" width="12" style="1" customWidth="1"/>
    <col min="5388" max="5388" width="11.85546875" style="1" customWidth="1"/>
    <col min="5389" max="5389" width="10.85546875" style="1" customWidth="1"/>
    <col min="5390" max="5390" width="13.140625" style="1" bestFit="1" customWidth="1"/>
    <col min="5391" max="5391" width="10.85546875" style="1" customWidth="1"/>
    <col min="5392" max="5392" width="12.7109375" style="1" customWidth="1"/>
    <col min="5393" max="5393" width="10.28515625" style="1" customWidth="1"/>
    <col min="5394" max="5403" width="10.85546875" style="1" customWidth="1"/>
    <col min="5404" max="5634" width="11.42578125" style="1"/>
    <col min="5635" max="5635" width="32.7109375" style="1" bestFit="1" customWidth="1"/>
    <col min="5636" max="5636" width="13.7109375" style="1" customWidth="1"/>
    <col min="5637" max="5643" width="12" style="1" customWidth="1"/>
    <col min="5644" max="5644" width="11.85546875" style="1" customWidth="1"/>
    <col min="5645" max="5645" width="10.85546875" style="1" customWidth="1"/>
    <col min="5646" max="5646" width="13.140625" style="1" bestFit="1" customWidth="1"/>
    <col min="5647" max="5647" width="10.85546875" style="1" customWidth="1"/>
    <col min="5648" max="5648" width="12.7109375" style="1" customWidth="1"/>
    <col min="5649" max="5649" width="10.28515625" style="1" customWidth="1"/>
    <col min="5650" max="5659" width="10.85546875" style="1" customWidth="1"/>
    <col min="5660" max="5890" width="11.42578125" style="1"/>
    <col min="5891" max="5891" width="32.7109375" style="1" bestFit="1" customWidth="1"/>
    <col min="5892" max="5892" width="13.7109375" style="1" customWidth="1"/>
    <col min="5893" max="5899" width="12" style="1" customWidth="1"/>
    <col min="5900" max="5900" width="11.85546875" style="1" customWidth="1"/>
    <col min="5901" max="5901" width="10.85546875" style="1" customWidth="1"/>
    <col min="5902" max="5902" width="13.140625" style="1" bestFit="1" customWidth="1"/>
    <col min="5903" max="5903" width="10.85546875" style="1" customWidth="1"/>
    <col min="5904" max="5904" width="12.7109375" style="1" customWidth="1"/>
    <col min="5905" max="5905" width="10.28515625" style="1" customWidth="1"/>
    <col min="5906" max="5915" width="10.85546875" style="1" customWidth="1"/>
    <col min="5916" max="6146" width="11.42578125" style="1"/>
    <col min="6147" max="6147" width="32.7109375" style="1" bestFit="1" customWidth="1"/>
    <col min="6148" max="6148" width="13.7109375" style="1" customWidth="1"/>
    <col min="6149" max="6155" width="12" style="1" customWidth="1"/>
    <col min="6156" max="6156" width="11.85546875" style="1" customWidth="1"/>
    <col min="6157" max="6157" width="10.85546875" style="1" customWidth="1"/>
    <col min="6158" max="6158" width="13.140625" style="1" bestFit="1" customWidth="1"/>
    <col min="6159" max="6159" width="10.85546875" style="1" customWidth="1"/>
    <col min="6160" max="6160" width="12.7109375" style="1" customWidth="1"/>
    <col min="6161" max="6161" width="10.28515625" style="1" customWidth="1"/>
    <col min="6162" max="6171" width="10.85546875" style="1" customWidth="1"/>
    <col min="6172" max="6402" width="11.42578125" style="1"/>
    <col min="6403" max="6403" width="32.7109375" style="1" bestFit="1" customWidth="1"/>
    <col min="6404" max="6404" width="13.7109375" style="1" customWidth="1"/>
    <col min="6405" max="6411" width="12" style="1" customWidth="1"/>
    <col min="6412" max="6412" width="11.85546875" style="1" customWidth="1"/>
    <col min="6413" max="6413" width="10.85546875" style="1" customWidth="1"/>
    <col min="6414" max="6414" width="13.140625" style="1" bestFit="1" customWidth="1"/>
    <col min="6415" max="6415" width="10.85546875" style="1" customWidth="1"/>
    <col min="6416" max="6416" width="12.7109375" style="1" customWidth="1"/>
    <col min="6417" max="6417" width="10.28515625" style="1" customWidth="1"/>
    <col min="6418" max="6427" width="10.85546875" style="1" customWidth="1"/>
    <col min="6428" max="6658" width="11.42578125" style="1"/>
    <col min="6659" max="6659" width="32.7109375" style="1" bestFit="1" customWidth="1"/>
    <col min="6660" max="6660" width="13.7109375" style="1" customWidth="1"/>
    <col min="6661" max="6667" width="12" style="1" customWidth="1"/>
    <col min="6668" max="6668" width="11.85546875" style="1" customWidth="1"/>
    <col min="6669" max="6669" width="10.85546875" style="1" customWidth="1"/>
    <col min="6670" max="6670" width="13.140625" style="1" bestFit="1" customWidth="1"/>
    <col min="6671" max="6671" width="10.85546875" style="1" customWidth="1"/>
    <col min="6672" max="6672" width="12.7109375" style="1" customWidth="1"/>
    <col min="6673" max="6673" width="10.28515625" style="1" customWidth="1"/>
    <col min="6674" max="6683" width="10.85546875" style="1" customWidth="1"/>
    <col min="6684" max="6914" width="11.42578125" style="1"/>
    <col min="6915" max="6915" width="32.7109375" style="1" bestFit="1" customWidth="1"/>
    <col min="6916" max="6916" width="13.7109375" style="1" customWidth="1"/>
    <col min="6917" max="6923" width="12" style="1" customWidth="1"/>
    <col min="6924" max="6924" width="11.85546875" style="1" customWidth="1"/>
    <col min="6925" max="6925" width="10.85546875" style="1" customWidth="1"/>
    <col min="6926" max="6926" width="13.140625" style="1" bestFit="1" customWidth="1"/>
    <col min="6927" max="6927" width="10.85546875" style="1" customWidth="1"/>
    <col min="6928" max="6928" width="12.7109375" style="1" customWidth="1"/>
    <col min="6929" max="6929" width="10.28515625" style="1" customWidth="1"/>
    <col min="6930" max="6939" width="10.85546875" style="1" customWidth="1"/>
    <col min="6940" max="7170" width="11.42578125" style="1"/>
    <col min="7171" max="7171" width="32.7109375" style="1" bestFit="1" customWidth="1"/>
    <col min="7172" max="7172" width="13.7109375" style="1" customWidth="1"/>
    <col min="7173" max="7179" width="12" style="1" customWidth="1"/>
    <col min="7180" max="7180" width="11.85546875" style="1" customWidth="1"/>
    <col min="7181" max="7181" width="10.85546875" style="1" customWidth="1"/>
    <col min="7182" max="7182" width="13.140625" style="1" bestFit="1" customWidth="1"/>
    <col min="7183" max="7183" width="10.85546875" style="1" customWidth="1"/>
    <col min="7184" max="7184" width="12.7109375" style="1" customWidth="1"/>
    <col min="7185" max="7185" width="10.28515625" style="1" customWidth="1"/>
    <col min="7186" max="7195" width="10.85546875" style="1" customWidth="1"/>
    <col min="7196" max="7426" width="11.42578125" style="1"/>
    <col min="7427" max="7427" width="32.7109375" style="1" bestFit="1" customWidth="1"/>
    <col min="7428" max="7428" width="13.7109375" style="1" customWidth="1"/>
    <col min="7429" max="7435" width="12" style="1" customWidth="1"/>
    <col min="7436" max="7436" width="11.85546875" style="1" customWidth="1"/>
    <col min="7437" max="7437" width="10.85546875" style="1" customWidth="1"/>
    <col min="7438" max="7438" width="13.140625" style="1" bestFit="1" customWidth="1"/>
    <col min="7439" max="7439" width="10.85546875" style="1" customWidth="1"/>
    <col min="7440" max="7440" width="12.7109375" style="1" customWidth="1"/>
    <col min="7441" max="7441" width="10.28515625" style="1" customWidth="1"/>
    <col min="7442" max="7451" width="10.85546875" style="1" customWidth="1"/>
    <col min="7452" max="7682" width="11.42578125" style="1"/>
    <col min="7683" max="7683" width="32.7109375" style="1" bestFit="1" customWidth="1"/>
    <col min="7684" max="7684" width="13.7109375" style="1" customWidth="1"/>
    <col min="7685" max="7691" width="12" style="1" customWidth="1"/>
    <col min="7692" max="7692" width="11.85546875" style="1" customWidth="1"/>
    <col min="7693" max="7693" width="10.85546875" style="1" customWidth="1"/>
    <col min="7694" max="7694" width="13.140625" style="1" bestFit="1" customWidth="1"/>
    <col min="7695" max="7695" width="10.85546875" style="1" customWidth="1"/>
    <col min="7696" max="7696" width="12.7109375" style="1" customWidth="1"/>
    <col min="7697" max="7697" width="10.28515625" style="1" customWidth="1"/>
    <col min="7698" max="7707" width="10.85546875" style="1" customWidth="1"/>
    <col min="7708" max="7938" width="11.42578125" style="1"/>
    <col min="7939" max="7939" width="32.7109375" style="1" bestFit="1" customWidth="1"/>
    <col min="7940" max="7940" width="13.7109375" style="1" customWidth="1"/>
    <col min="7941" max="7947" width="12" style="1" customWidth="1"/>
    <col min="7948" max="7948" width="11.85546875" style="1" customWidth="1"/>
    <col min="7949" max="7949" width="10.85546875" style="1" customWidth="1"/>
    <col min="7950" max="7950" width="13.140625" style="1" bestFit="1" customWidth="1"/>
    <col min="7951" max="7951" width="10.85546875" style="1" customWidth="1"/>
    <col min="7952" max="7952" width="12.7109375" style="1" customWidth="1"/>
    <col min="7953" max="7953" width="10.28515625" style="1" customWidth="1"/>
    <col min="7954" max="7963" width="10.85546875" style="1" customWidth="1"/>
    <col min="7964" max="8194" width="11.42578125" style="1"/>
    <col min="8195" max="8195" width="32.7109375" style="1" bestFit="1" customWidth="1"/>
    <col min="8196" max="8196" width="13.7109375" style="1" customWidth="1"/>
    <col min="8197" max="8203" width="12" style="1" customWidth="1"/>
    <col min="8204" max="8204" width="11.85546875" style="1" customWidth="1"/>
    <col min="8205" max="8205" width="10.85546875" style="1" customWidth="1"/>
    <col min="8206" max="8206" width="13.140625" style="1" bestFit="1" customWidth="1"/>
    <col min="8207" max="8207" width="10.85546875" style="1" customWidth="1"/>
    <col min="8208" max="8208" width="12.7109375" style="1" customWidth="1"/>
    <col min="8209" max="8209" width="10.28515625" style="1" customWidth="1"/>
    <col min="8210" max="8219" width="10.85546875" style="1" customWidth="1"/>
    <col min="8220" max="8450" width="11.42578125" style="1"/>
    <col min="8451" max="8451" width="32.7109375" style="1" bestFit="1" customWidth="1"/>
    <col min="8452" max="8452" width="13.7109375" style="1" customWidth="1"/>
    <col min="8453" max="8459" width="12" style="1" customWidth="1"/>
    <col min="8460" max="8460" width="11.85546875" style="1" customWidth="1"/>
    <col min="8461" max="8461" width="10.85546875" style="1" customWidth="1"/>
    <col min="8462" max="8462" width="13.140625" style="1" bestFit="1" customWidth="1"/>
    <col min="8463" max="8463" width="10.85546875" style="1" customWidth="1"/>
    <col min="8464" max="8464" width="12.7109375" style="1" customWidth="1"/>
    <col min="8465" max="8465" width="10.28515625" style="1" customWidth="1"/>
    <col min="8466" max="8475" width="10.85546875" style="1" customWidth="1"/>
    <col min="8476" max="8706" width="11.42578125" style="1"/>
    <col min="8707" max="8707" width="32.7109375" style="1" bestFit="1" customWidth="1"/>
    <col min="8708" max="8708" width="13.7109375" style="1" customWidth="1"/>
    <col min="8709" max="8715" width="12" style="1" customWidth="1"/>
    <col min="8716" max="8716" width="11.85546875" style="1" customWidth="1"/>
    <col min="8717" max="8717" width="10.85546875" style="1" customWidth="1"/>
    <col min="8718" max="8718" width="13.140625" style="1" bestFit="1" customWidth="1"/>
    <col min="8719" max="8719" width="10.85546875" style="1" customWidth="1"/>
    <col min="8720" max="8720" width="12.7109375" style="1" customWidth="1"/>
    <col min="8721" max="8721" width="10.28515625" style="1" customWidth="1"/>
    <col min="8722" max="8731" width="10.85546875" style="1" customWidth="1"/>
    <col min="8732" max="8962" width="11.42578125" style="1"/>
    <col min="8963" max="8963" width="32.7109375" style="1" bestFit="1" customWidth="1"/>
    <col min="8964" max="8964" width="13.7109375" style="1" customWidth="1"/>
    <col min="8965" max="8971" width="12" style="1" customWidth="1"/>
    <col min="8972" max="8972" width="11.85546875" style="1" customWidth="1"/>
    <col min="8973" max="8973" width="10.85546875" style="1" customWidth="1"/>
    <col min="8974" max="8974" width="13.140625" style="1" bestFit="1" customWidth="1"/>
    <col min="8975" max="8975" width="10.85546875" style="1" customWidth="1"/>
    <col min="8976" max="8976" width="12.7109375" style="1" customWidth="1"/>
    <col min="8977" max="8977" width="10.28515625" style="1" customWidth="1"/>
    <col min="8978" max="8987" width="10.85546875" style="1" customWidth="1"/>
    <col min="8988" max="9218" width="11.42578125" style="1"/>
    <col min="9219" max="9219" width="32.7109375" style="1" bestFit="1" customWidth="1"/>
    <col min="9220" max="9220" width="13.7109375" style="1" customWidth="1"/>
    <col min="9221" max="9227" width="12" style="1" customWidth="1"/>
    <col min="9228" max="9228" width="11.85546875" style="1" customWidth="1"/>
    <col min="9229" max="9229" width="10.85546875" style="1" customWidth="1"/>
    <col min="9230" max="9230" width="13.140625" style="1" bestFit="1" customWidth="1"/>
    <col min="9231" max="9231" width="10.85546875" style="1" customWidth="1"/>
    <col min="9232" max="9232" width="12.7109375" style="1" customWidth="1"/>
    <col min="9233" max="9233" width="10.28515625" style="1" customWidth="1"/>
    <col min="9234" max="9243" width="10.85546875" style="1" customWidth="1"/>
    <col min="9244" max="9474" width="11.42578125" style="1"/>
    <col min="9475" max="9475" width="32.7109375" style="1" bestFit="1" customWidth="1"/>
    <col min="9476" max="9476" width="13.7109375" style="1" customWidth="1"/>
    <col min="9477" max="9483" width="12" style="1" customWidth="1"/>
    <col min="9484" max="9484" width="11.85546875" style="1" customWidth="1"/>
    <col min="9485" max="9485" width="10.85546875" style="1" customWidth="1"/>
    <col min="9486" max="9486" width="13.140625" style="1" bestFit="1" customWidth="1"/>
    <col min="9487" max="9487" width="10.85546875" style="1" customWidth="1"/>
    <col min="9488" max="9488" width="12.7109375" style="1" customWidth="1"/>
    <col min="9489" max="9489" width="10.28515625" style="1" customWidth="1"/>
    <col min="9490" max="9499" width="10.85546875" style="1" customWidth="1"/>
    <col min="9500" max="9730" width="11.42578125" style="1"/>
    <col min="9731" max="9731" width="32.7109375" style="1" bestFit="1" customWidth="1"/>
    <col min="9732" max="9732" width="13.7109375" style="1" customWidth="1"/>
    <col min="9733" max="9739" width="12" style="1" customWidth="1"/>
    <col min="9740" max="9740" width="11.85546875" style="1" customWidth="1"/>
    <col min="9741" max="9741" width="10.85546875" style="1" customWidth="1"/>
    <col min="9742" max="9742" width="13.140625" style="1" bestFit="1" customWidth="1"/>
    <col min="9743" max="9743" width="10.85546875" style="1" customWidth="1"/>
    <col min="9744" max="9744" width="12.7109375" style="1" customWidth="1"/>
    <col min="9745" max="9745" width="10.28515625" style="1" customWidth="1"/>
    <col min="9746" max="9755" width="10.85546875" style="1" customWidth="1"/>
    <col min="9756" max="9986" width="11.42578125" style="1"/>
    <col min="9987" max="9987" width="32.7109375" style="1" bestFit="1" customWidth="1"/>
    <col min="9988" max="9988" width="13.7109375" style="1" customWidth="1"/>
    <col min="9989" max="9995" width="12" style="1" customWidth="1"/>
    <col min="9996" max="9996" width="11.85546875" style="1" customWidth="1"/>
    <col min="9997" max="9997" width="10.85546875" style="1" customWidth="1"/>
    <col min="9998" max="9998" width="13.140625" style="1" bestFit="1" customWidth="1"/>
    <col min="9999" max="9999" width="10.85546875" style="1" customWidth="1"/>
    <col min="10000" max="10000" width="12.7109375" style="1" customWidth="1"/>
    <col min="10001" max="10001" width="10.28515625" style="1" customWidth="1"/>
    <col min="10002" max="10011" width="10.85546875" style="1" customWidth="1"/>
    <col min="10012" max="10242" width="11.42578125" style="1"/>
    <col min="10243" max="10243" width="32.7109375" style="1" bestFit="1" customWidth="1"/>
    <col min="10244" max="10244" width="13.7109375" style="1" customWidth="1"/>
    <col min="10245" max="10251" width="12" style="1" customWidth="1"/>
    <col min="10252" max="10252" width="11.85546875" style="1" customWidth="1"/>
    <col min="10253" max="10253" width="10.85546875" style="1" customWidth="1"/>
    <col min="10254" max="10254" width="13.140625" style="1" bestFit="1" customWidth="1"/>
    <col min="10255" max="10255" width="10.85546875" style="1" customWidth="1"/>
    <col min="10256" max="10256" width="12.7109375" style="1" customWidth="1"/>
    <col min="10257" max="10257" width="10.28515625" style="1" customWidth="1"/>
    <col min="10258" max="10267" width="10.85546875" style="1" customWidth="1"/>
    <col min="10268" max="10498" width="11.42578125" style="1"/>
    <col min="10499" max="10499" width="32.7109375" style="1" bestFit="1" customWidth="1"/>
    <col min="10500" max="10500" width="13.7109375" style="1" customWidth="1"/>
    <col min="10501" max="10507" width="12" style="1" customWidth="1"/>
    <col min="10508" max="10508" width="11.85546875" style="1" customWidth="1"/>
    <col min="10509" max="10509" width="10.85546875" style="1" customWidth="1"/>
    <col min="10510" max="10510" width="13.140625" style="1" bestFit="1" customWidth="1"/>
    <col min="10511" max="10511" width="10.85546875" style="1" customWidth="1"/>
    <col min="10512" max="10512" width="12.7109375" style="1" customWidth="1"/>
    <col min="10513" max="10513" width="10.28515625" style="1" customWidth="1"/>
    <col min="10514" max="10523" width="10.85546875" style="1" customWidth="1"/>
    <col min="10524" max="10754" width="11.42578125" style="1"/>
    <col min="10755" max="10755" width="32.7109375" style="1" bestFit="1" customWidth="1"/>
    <col min="10756" max="10756" width="13.7109375" style="1" customWidth="1"/>
    <col min="10757" max="10763" width="12" style="1" customWidth="1"/>
    <col min="10764" max="10764" width="11.85546875" style="1" customWidth="1"/>
    <col min="10765" max="10765" width="10.85546875" style="1" customWidth="1"/>
    <col min="10766" max="10766" width="13.140625" style="1" bestFit="1" customWidth="1"/>
    <col min="10767" max="10767" width="10.85546875" style="1" customWidth="1"/>
    <col min="10768" max="10768" width="12.7109375" style="1" customWidth="1"/>
    <col min="10769" max="10769" width="10.28515625" style="1" customWidth="1"/>
    <col min="10770" max="10779" width="10.85546875" style="1" customWidth="1"/>
    <col min="10780" max="11010" width="11.42578125" style="1"/>
    <col min="11011" max="11011" width="32.7109375" style="1" bestFit="1" customWidth="1"/>
    <col min="11012" max="11012" width="13.7109375" style="1" customWidth="1"/>
    <col min="11013" max="11019" width="12" style="1" customWidth="1"/>
    <col min="11020" max="11020" width="11.85546875" style="1" customWidth="1"/>
    <col min="11021" max="11021" width="10.85546875" style="1" customWidth="1"/>
    <col min="11022" max="11022" width="13.140625" style="1" bestFit="1" customWidth="1"/>
    <col min="11023" max="11023" width="10.85546875" style="1" customWidth="1"/>
    <col min="11024" max="11024" width="12.7109375" style="1" customWidth="1"/>
    <col min="11025" max="11025" width="10.28515625" style="1" customWidth="1"/>
    <col min="11026" max="11035" width="10.85546875" style="1" customWidth="1"/>
    <col min="11036" max="11266" width="11.42578125" style="1"/>
    <col min="11267" max="11267" width="32.7109375" style="1" bestFit="1" customWidth="1"/>
    <col min="11268" max="11268" width="13.7109375" style="1" customWidth="1"/>
    <col min="11269" max="11275" width="12" style="1" customWidth="1"/>
    <col min="11276" max="11276" width="11.85546875" style="1" customWidth="1"/>
    <col min="11277" max="11277" width="10.85546875" style="1" customWidth="1"/>
    <col min="11278" max="11278" width="13.140625" style="1" bestFit="1" customWidth="1"/>
    <col min="11279" max="11279" width="10.85546875" style="1" customWidth="1"/>
    <col min="11280" max="11280" width="12.7109375" style="1" customWidth="1"/>
    <col min="11281" max="11281" width="10.28515625" style="1" customWidth="1"/>
    <col min="11282" max="11291" width="10.85546875" style="1" customWidth="1"/>
    <col min="11292" max="11522" width="11.42578125" style="1"/>
    <col min="11523" max="11523" width="32.7109375" style="1" bestFit="1" customWidth="1"/>
    <col min="11524" max="11524" width="13.7109375" style="1" customWidth="1"/>
    <col min="11525" max="11531" width="12" style="1" customWidth="1"/>
    <col min="11532" max="11532" width="11.85546875" style="1" customWidth="1"/>
    <col min="11533" max="11533" width="10.85546875" style="1" customWidth="1"/>
    <col min="11534" max="11534" width="13.140625" style="1" bestFit="1" customWidth="1"/>
    <col min="11535" max="11535" width="10.85546875" style="1" customWidth="1"/>
    <col min="11536" max="11536" width="12.7109375" style="1" customWidth="1"/>
    <col min="11537" max="11537" width="10.28515625" style="1" customWidth="1"/>
    <col min="11538" max="11547" width="10.85546875" style="1" customWidth="1"/>
    <col min="11548" max="11778" width="11.42578125" style="1"/>
    <col min="11779" max="11779" width="32.7109375" style="1" bestFit="1" customWidth="1"/>
    <col min="11780" max="11780" width="13.7109375" style="1" customWidth="1"/>
    <col min="11781" max="11787" width="12" style="1" customWidth="1"/>
    <col min="11788" max="11788" width="11.85546875" style="1" customWidth="1"/>
    <col min="11789" max="11789" width="10.85546875" style="1" customWidth="1"/>
    <col min="11790" max="11790" width="13.140625" style="1" bestFit="1" customWidth="1"/>
    <col min="11791" max="11791" width="10.85546875" style="1" customWidth="1"/>
    <col min="11792" max="11792" width="12.7109375" style="1" customWidth="1"/>
    <col min="11793" max="11793" width="10.28515625" style="1" customWidth="1"/>
    <col min="11794" max="11803" width="10.85546875" style="1" customWidth="1"/>
    <col min="11804" max="12034" width="11.42578125" style="1"/>
    <col min="12035" max="12035" width="32.7109375" style="1" bestFit="1" customWidth="1"/>
    <col min="12036" max="12036" width="13.7109375" style="1" customWidth="1"/>
    <col min="12037" max="12043" width="12" style="1" customWidth="1"/>
    <col min="12044" max="12044" width="11.85546875" style="1" customWidth="1"/>
    <col min="12045" max="12045" width="10.85546875" style="1" customWidth="1"/>
    <col min="12046" max="12046" width="13.140625" style="1" bestFit="1" customWidth="1"/>
    <col min="12047" max="12047" width="10.85546875" style="1" customWidth="1"/>
    <col min="12048" max="12048" width="12.7109375" style="1" customWidth="1"/>
    <col min="12049" max="12049" width="10.28515625" style="1" customWidth="1"/>
    <col min="12050" max="12059" width="10.85546875" style="1" customWidth="1"/>
    <col min="12060" max="12290" width="11.42578125" style="1"/>
    <col min="12291" max="12291" width="32.7109375" style="1" bestFit="1" customWidth="1"/>
    <col min="12292" max="12292" width="13.7109375" style="1" customWidth="1"/>
    <col min="12293" max="12299" width="12" style="1" customWidth="1"/>
    <col min="12300" max="12300" width="11.85546875" style="1" customWidth="1"/>
    <col min="12301" max="12301" width="10.85546875" style="1" customWidth="1"/>
    <col min="12302" max="12302" width="13.140625" style="1" bestFit="1" customWidth="1"/>
    <col min="12303" max="12303" width="10.85546875" style="1" customWidth="1"/>
    <col min="12304" max="12304" width="12.7109375" style="1" customWidth="1"/>
    <col min="12305" max="12305" width="10.28515625" style="1" customWidth="1"/>
    <col min="12306" max="12315" width="10.85546875" style="1" customWidth="1"/>
    <col min="12316" max="12546" width="11.42578125" style="1"/>
    <col min="12547" max="12547" width="32.7109375" style="1" bestFit="1" customWidth="1"/>
    <col min="12548" max="12548" width="13.7109375" style="1" customWidth="1"/>
    <col min="12549" max="12555" width="12" style="1" customWidth="1"/>
    <col min="12556" max="12556" width="11.85546875" style="1" customWidth="1"/>
    <col min="12557" max="12557" width="10.85546875" style="1" customWidth="1"/>
    <col min="12558" max="12558" width="13.140625" style="1" bestFit="1" customWidth="1"/>
    <col min="12559" max="12559" width="10.85546875" style="1" customWidth="1"/>
    <col min="12560" max="12560" width="12.7109375" style="1" customWidth="1"/>
    <col min="12561" max="12561" width="10.28515625" style="1" customWidth="1"/>
    <col min="12562" max="12571" width="10.85546875" style="1" customWidth="1"/>
    <col min="12572" max="12802" width="11.42578125" style="1"/>
    <col min="12803" max="12803" width="32.7109375" style="1" bestFit="1" customWidth="1"/>
    <col min="12804" max="12804" width="13.7109375" style="1" customWidth="1"/>
    <col min="12805" max="12811" width="12" style="1" customWidth="1"/>
    <col min="12812" max="12812" width="11.85546875" style="1" customWidth="1"/>
    <col min="12813" max="12813" width="10.85546875" style="1" customWidth="1"/>
    <col min="12814" max="12814" width="13.140625" style="1" bestFit="1" customWidth="1"/>
    <col min="12815" max="12815" width="10.85546875" style="1" customWidth="1"/>
    <col min="12816" max="12816" width="12.7109375" style="1" customWidth="1"/>
    <col min="12817" max="12817" width="10.28515625" style="1" customWidth="1"/>
    <col min="12818" max="12827" width="10.85546875" style="1" customWidth="1"/>
    <col min="12828" max="13058" width="11.42578125" style="1"/>
    <col min="13059" max="13059" width="32.7109375" style="1" bestFit="1" customWidth="1"/>
    <col min="13060" max="13060" width="13.7109375" style="1" customWidth="1"/>
    <col min="13061" max="13067" width="12" style="1" customWidth="1"/>
    <col min="13068" max="13068" width="11.85546875" style="1" customWidth="1"/>
    <col min="13069" max="13069" width="10.85546875" style="1" customWidth="1"/>
    <col min="13070" max="13070" width="13.140625" style="1" bestFit="1" customWidth="1"/>
    <col min="13071" max="13071" width="10.85546875" style="1" customWidth="1"/>
    <col min="13072" max="13072" width="12.7109375" style="1" customWidth="1"/>
    <col min="13073" max="13073" width="10.28515625" style="1" customWidth="1"/>
    <col min="13074" max="13083" width="10.85546875" style="1" customWidth="1"/>
    <col min="13084" max="13314" width="11.42578125" style="1"/>
    <col min="13315" max="13315" width="32.7109375" style="1" bestFit="1" customWidth="1"/>
    <col min="13316" max="13316" width="13.7109375" style="1" customWidth="1"/>
    <col min="13317" max="13323" width="12" style="1" customWidth="1"/>
    <col min="13324" max="13324" width="11.85546875" style="1" customWidth="1"/>
    <col min="13325" max="13325" width="10.85546875" style="1" customWidth="1"/>
    <col min="13326" max="13326" width="13.140625" style="1" bestFit="1" customWidth="1"/>
    <col min="13327" max="13327" width="10.85546875" style="1" customWidth="1"/>
    <col min="13328" max="13328" width="12.7109375" style="1" customWidth="1"/>
    <col min="13329" max="13329" width="10.28515625" style="1" customWidth="1"/>
    <col min="13330" max="13339" width="10.85546875" style="1" customWidth="1"/>
    <col min="13340" max="13570" width="11.42578125" style="1"/>
    <col min="13571" max="13571" width="32.7109375" style="1" bestFit="1" customWidth="1"/>
    <col min="13572" max="13572" width="13.7109375" style="1" customWidth="1"/>
    <col min="13573" max="13579" width="12" style="1" customWidth="1"/>
    <col min="13580" max="13580" width="11.85546875" style="1" customWidth="1"/>
    <col min="13581" max="13581" width="10.85546875" style="1" customWidth="1"/>
    <col min="13582" max="13582" width="13.140625" style="1" bestFit="1" customWidth="1"/>
    <col min="13583" max="13583" width="10.85546875" style="1" customWidth="1"/>
    <col min="13584" max="13584" width="12.7109375" style="1" customWidth="1"/>
    <col min="13585" max="13585" width="10.28515625" style="1" customWidth="1"/>
    <col min="13586" max="13595" width="10.85546875" style="1" customWidth="1"/>
    <col min="13596" max="13826" width="11.42578125" style="1"/>
    <col min="13827" max="13827" width="32.7109375" style="1" bestFit="1" customWidth="1"/>
    <col min="13828" max="13828" width="13.7109375" style="1" customWidth="1"/>
    <col min="13829" max="13835" width="12" style="1" customWidth="1"/>
    <col min="13836" max="13836" width="11.85546875" style="1" customWidth="1"/>
    <col min="13837" max="13837" width="10.85546875" style="1" customWidth="1"/>
    <col min="13838" max="13838" width="13.140625" style="1" bestFit="1" customWidth="1"/>
    <col min="13839" max="13839" width="10.85546875" style="1" customWidth="1"/>
    <col min="13840" max="13840" width="12.7109375" style="1" customWidth="1"/>
    <col min="13841" max="13841" width="10.28515625" style="1" customWidth="1"/>
    <col min="13842" max="13851" width="10.85546875" style="1" customWidth="1"/>
    <col min="13852" max="14082" width="11.42578125" style="1"/>
    <col min="14083" max="14083" width="32.7109375" style="1" bestFit="1" customWidth="1"/>
    <col min="14084" max="14084" width="13.7109375" style="1" customWidth="1"/>
    <col min="14085" max="14091" width="12" style="1" customWidth="1"/>
    <col min="14092" max="14092" width="11.85546875" style="1" customWidth="1"/>
    <col min="14093" max="14093" width="10.85546875" style="1" customWidth="1"/>
    <col min="14094" max="14094" width="13.140625" style="1" bestFit="1" customWidth="1"/>
    <col min="14095" max="14095" width="10.85546875" style="1" customWidth="1"/>
    <col min="14096" max="14096" width="12.7109375" style="1" customWidth="1"/>
    <col min="14097" max="14097" width="10.28515625" style="1" customWidth="1"/>
    <col min="14098" max="14107" width="10.85546875" style="1" customWidth="1"/>
    <col min="14108" max="14338" width="11.42578125" style="1"/>
    <col min="14339" max="14339" width="32.7109375" style="1" bestFit="1" customWidth="1"/>
    <col min="14340" max="14340" width="13.7109375" style="1" customWidth="1"/>
    <col min="14341" max="14347" width="12" style="1" customWidth="1"/>
    <col min="14348" max="14348" width="11.85546875" style="1" customWidth="1"/>
    <col min="14349" max="14349" width="10.85546875" style="1" customWidth="1"/>
    <col min="14350" max="14350" width="13.140625" style="1" bestFit="1" customWidth="1"/>
    <col min="14351" max="14351" width="10.85546875" style="1" customWidth="1"/>
    <col min="14352" max="14352" width="12.7109375" style="1" customWidth="1"/>
    <col min="14353" max="14353" width="10.28515625" style="1" customWidth="1"/>
    <col min="14354" max="14363" width="10.85546875" style="1" customWidth="1"/>
    <col min="14364" max="14594" width="11.42578125" style="1"/>
    <col min="14595" max="14595" width="32.7109375" style="1" bestFit="1" customWidth="1"/>
    <col min="14596" max="14596" width="13.7109375" style="1" customWidth="1"/>
    <col min="14597" max="14603" width="12" style="1" customWidth="1"/>
    <col min="14604" max="14604" width="11.85546875" style="1" customWidth="1"/>
    <col min="14605" max="14605" width="10.85546875" style="1" customWidth="1"/>
    <col min="14606" max="14606" width="13.140625" style="1" bestFit="1" customWidth="1"/>
    <col min="14607" max="14607" width="10.85546875" style="1" customWidth="1"/>
    <col min="14608" max="14608" width="12.7109375" style="1" customWidth="1"/>
    <col min="14609" max="14609" width="10.28515625" style="1" customWidth="1"/>
    <col min="14610" max="14619" width="10.85546875" style="1" customWidth="1"/>
    <col min="14620" max="14850" width="11.42578125" style="1"/>
    <col min="14851" max="14851" width="32.7109375" style="1" bestFit="1" customWidth="1"/>
    <col min="14852" max="14852" width="13.7109375" style="1" customWidth="1"/>
    <col min="14853" max="14859" width="12" style="1" customWidth="1"/>
    <col min="14860" max="14860" width="11.85546875" style="1" customWidth="1"/>
    <col min="14861" max="14861" width="10.85546875" style="1" customWidth="1"/>
    <col min="14862" max="14862" width="13.140625" style="1" bestFit="1" customWidth="1"/>
    <col min="14863" max="14863" width="10.85546875" style="1" customWidth="1"/>
    <col min="14864" max="14864" width="12.7109375" style="1" customWidth="1"/>
    <col min="14865" max="14865" width="10.28515625" style="1" customWidth="1"/>
    <col min="14866" max="14875" width="10.85546875" style="1" customWidth="1"/>
    <col min="14876" max="15106" width="11.42578125" style="1"/>
    <col min="15107" max="15107" width="32.7109375" style="1" bestFit="1" customWidth="1"/>
    <col min="15108" max="15108" width="13.7109375" style="1" customWidth="1"/>
    <col min="15109" max="15115" width="12" style="1" customWidth="1"/>
    <col min="15116" max="15116" width="11.85546875" style="1" customWidth="1"/>
    <col min="15117" max="15117" width="10.85546875" style="1" customWidth="1"/>
    <col min="15118" max="15118" width="13.140625" style="1" bestFit="1" customWidth="1"/>
    <col min="15119" max="15119" width="10.85546875" style="1" customWidth="1"/>
    <col min="15120" max="15120" width="12.7109375" style="1" customWidth="1"/>
    <col min="15121" max="15121" width="10.28515625" style="1" customWidth="1"/>
    <col min="15122" max="15131" width="10.85546875" style="1" customWidth="1"/>
    <col min="15132" max="15362" width="11.42578125" style="1"/>
    <col min="15363" max="15363" width="32.7109375" style="1" bestFit="1" customWidth="1"/>
    <col min="15364" max="15364" width="13.7109375" style="1" customWidth="1"/>
    <col min="15365" max="15371" width="12" style="1" customWidth="1"/>
    <col min="15372" max="15372" width="11.85546875" style="1" customWidth="1"/>
    <col min="15373" max="15373" width="10.85546875" style="1" customWidth="1"/>
    <col min="15374" max="15374" width="13.140625" style="1" bestFit="1" customWidth="1"/>
    <col min="15375" max="15375" width="10.85546875" style="1" customWidth="1"/>
    <col min="15376" max="15376" width="12.7109375" style="1" customWidth="1"/>
    <col min="15377" max="15377" width="10.28515625" style="1" customWidth="1"/>
    <col min="15378" max="15387" width="10.85546875" style="1" customWidth="1"/>
    <col min="15388" max="15618" width="11.42578125" style="1"/>
    <col min="15619" max="15619" width="32.7109375" style="1" bestFit="1" customWidth="1"/>
    <col min="15620" max="15620" width="13.7109375" style="1" customWidth="1"/>
    <col min="15621" max="15627" width="12" style="1" customWidth="1"/>
    <col min="15628" max="15628" width="11.85546875" style="1" customWidth="1"/>
    <col min="15629" max="15629" width="10.85546875" style="1" customWidth="1"/>
    <col min="15630" max="15630" width="13.140625" style="1" bestFit="1" customWidth="1"/>
    <col min="15631" max="15631" width="10.85546875" style="1" customWidth="1"/>
    <col min="15632" max="15632" width="12.7109375" style="1" customWidth="1"/>
    <col min="15633" max="15633" width="10.28515625" style="1" customWidth="1"/>
    <col min="15634" max="15643" width="10.85546875" style="1" customWidth="1"/>
    <col min="15644" max="15874" width="11.42578125" style="1"/>
    <col min="15875" max="15875" width="32.7109375" style="1" bestFit="1" customWidth="1"/>
    <col min="15876" max="15876" width="13.7109375" style="1" customWidth="1"/>
    <col min="15877" max="15883" width="12" style="1" customWidth="1"/>
    <col min="15884" max="15884" width="11.85546875" style="1" customWidth="1"/>
    <col min="15885" max="15885" width="10.85546875" style="1" customWidth="1"/>
    <col min="15886" max="15886" width="13.140625" style="1" bestFit="1" customWidth="1"/>
    <col min="15887" max="15887" width="10.85546875" style="1" customWidth="1"/>
    <col min="15888" max="15888" width="12.7109375" style="1" customWidth="1"/>
    <col min="15889" max="15889" width="10.28515625" style="1" customWidth="1"/>
    <col min="15890" max="15899" width="10.85546875" style="1" customWidth="1"/>
    <col min="15900" max="16130" width="11.42578125" style="1"/>
    <col min="16131" max="16131" width="32.7109375" style="1" bestFit="1" customWidth="1"/>
    <col min="16132" max="16132" width="13.7109375" style="1" customWidth="1"/>
    <col min="16133" max="16139" width="12" style="1" customWidth="1"/>
    <col min="16140" max="16140" width="11.85546875" style="1" customWidth="1"/>
    <col min="16141" max="16141" width="10.85546875" style="1" customWidth="1"/>
    <col min="16142" max="16142" width="13.140625" style="1" bestFit="1" customWidth="1"/>
    <col min="16143" max="16143" width="10.85546875" style="1" customWidth="1"/>
    <col min="16144" max="16144" width="12.7109375" style="1" customWidth="1"/>
    <col min="16145" max="16145" width="10.28515625" style="1" customWidth="1"/>
    <col min="16146" max="16155" width="10.85546875" style="1" customWidth="1"/>
    <col min="16156" max="16384" width="11.42578125" style="1"/>
  </cols>
  <sheetData>
    <row r="2" spans="2:22" ht="47.25" customHeight="1" x14ac:dyDescent="0.25">
      <c r="B2" s="304" t="str">
        <f>'Fitxa Tècnica'!B2:P2</f>
        <v>UNIVERSITAT POLITÈCNICA DE CATALUNYA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4" spans="2:22" ht="18.75" customHeight="1" x14ac:dyDescent="0.2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22" ht="33.75" customHeight="1" thickBot="1" x14ac:dyDescent="0.3">
      <c r="B5" s="98" t="s">
        <v>192</v>
      </c>
      <c r="C5" s="99"/>
      <c r="D5" s="99"/>
      <c r="E5" s="100"/>
      <c r="F5" s="10"/>
      <c r="G5" s="10"/>
      <c r="H5" s="10"/>
      <c r="I5" s="10"/>
      <c r="J5" s="10"/>
      <c r="K5" s="10"/>
    </row>
    <row r="6" spans="2:22" ht="18.75" customHeight="1" x14ac:dyDescent="0.25">
      <c r="C6" s="9"/>
    </row>
    <row r="7" spans="2:22" ht="18.75" customHeight="1" x14ac:dyDescent="0.25">
      <c r="C7" s="9"/>
    </row>
    <row r="8" spans="2:22" ht="18.75" customHeight="1" x14ac:dyDescent="0.25">
      <c r="C8" s="9"/>
    </row>
    <row r="9" spans="2:22" customFormat="1" ht="32.25" thickBot="1" x14ac:dyDescent="0.55000000000000004">
      <c r="B9" s="89" t="s">
        <v>202</v>
      </c>
      <c r="C9" s="90"/>
      <c r="D9" s="83"/>
      <c r="E9" s="83"/>
      <c r="F9" s="84"/>
      <c r="G9" s="84"/>
      <c r="H9" s="84"/>
      <c r="I9" s="84"/>
      <c r="J9" s="84"/>
      <c r="K9" s="80"/>
      <c r="L9" s="80"/>
      <c r="M9" s="80"/>
      <c r="N9" s="80"/>
      <c r="O9" s="80"/>
      <c r="P9" s="80"/>
    </row>
    <row r="10" spans="2:22" ht="18.75" customHeight="1" x14ac:dyDescent="0.25">
      <c r="C10" s="9"/>
    </row>
    <row r="11" spans="2:22" ht="18.75" customHeight="1" x14ac:dyDescent="0.25">
      <c r="C11" s="9"/>
    </row>
    <row r="12" spans="2:22" ht="18.75" customHeight="1" x14ac:dyDescent="0.25">
      <c r="C12" s="81" t="s">
        <v>376</v>
      </c>
    </row>
    <row r="14" spans="2:22" s="3" customFormat="1" ht="18.75" customHeight="1" x14ac:dyDescent="0.25">
      <c r="C14" s="85"/>
      <c r="D14" s="364" t="s">
        <v>0</v>
      </c>
      <c r="E14" s="365"/>
      <c r="F14" s="365"/>
      <c r="G14" s="364" t="s">
        <v>377</v>
      </c>
      <c r="H14" s="365"/>
      <c r="I14" s="365"/>
      <c r="J14" s="36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s="3" customFormat="1" ht="27.75" customHeight="1" x14ac:dyDescent="0.25">
      <c r="C15" s="86"/>
      <c r="D15" s="365"/>
      <c r="E15" s="365" t="s">
        <v>0</v>
      </c>
      <c r="F15" s="365"/>
      <c r="G15" s="365"/>
      <c r="H15" s="365"/>
      <c r="I15" s="365"/>
      <c r="J15" s="365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</row>
    <row r="16" spans="2:22" s="3" customFormat="1" ht="18.75" customHeight="1" x14ac:dyDescent="0.25">
      <c r="C16" s="86"/>
      <c r="D16" s="345" t="s">
        <v>6</v>
      </c>
      <c r="E16" s="345" t="s">
        <v>7</v>
      </c>
      <c r="F16" s="345" t="s">
        <v>8</v>
      </c>
      <c r="G16" s="353" t="s">
        <v>9</v>
      </c>
      <c r="H16" s="353"/>
      <c r="I16" s="353" t="s">
        <v>10</v>
      </c>
      <c r="J16" s="3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3:26" s="3" customFormat="1" ht="18.75" customHeight="1" thickBot="1" x14ac:dyDescent="0.3">
      <c r="C17" s="87"/>
      <c r="D17" s="347"/>
      <c r="E17" s="347"/>
      <c r="F17" s="347"/>
      <c r="G17" s="14" t="s">
        <v>2</v>
      </c>
      <c r="H17" s="14" t="s">
        <v>13</v>
      </c>
      <c r="I17" s="14" t="s">
        <v>2</v>
      </c>
      <c r="J17" s="14" t="s">
        <v>13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3:26" ht="18.75" customHeight="1" thickBot="1" x14ac:dyDescent="0.3">
      <c r="C18" s="19" t="s">
        <v>14</v>
      </c>
      <c r="D18" s="20">
        <v>3736</v>
      </c>
      <c r="E18" s="20">
        <v>1789</v>
      </c>
      <c r="F18" s="21">
        <f>E18/D18</f>
        <v>0.47885438972162742</v>
      </c>
      <c r="G18" s="22">
        <v>486</v>
      </c>
      <c r="H18" s="21">
        <f>G18/E18</f>
        <v>0.27166014533258803</v>
      </c>
      <c r="I18" s="20">
        <v>1303</v>
      </c>
      <c r="J18" s="21">
        <f>I18/E18</f>
        <v>0.72833985466741191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3:26" s="13" customFormat="1" ht="6" customHeight="1" x14ac:dyDescent="0.25">
      <c r="C19" s="15"/>
      <c r="D19" s="16"/>
      <c r="E19" s="17"/>
      <c r="F19" s="18"/>
      <c r="G19" s="16"/>
      <c r="H19" s="18"/>
      <c r="I19" s="16"/>
      <c r="J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2" spans="3:26" ht="18.75" customHeight="1" x14ac:dyDescent="0.25">
      <c r="C22" s="81" t="s">
        <v>15</v>
      </c>
    </row>
    <row r="24" spans="3:26" ht="27" customHeight="1" x14ac:dyDescent="0.25">
      <c r="C24" s="357"/>
      <c r="D24" s="371" t="s">
        <v>2</v>
      </c>
      <c r="E24" s="348" t="s">
        <v>16</v>
      </c>
      <c r="F24" s="370"/>
      <c r="G24" s="351" t="s">
        <v>17</v>
      </c>
      <c r="H24" s="351"/>
      <c r="I24" s="352" t="s">
        <v>18</v>
      </c>
      <c r="J24" s="352"/>
      <c r="K24" s="5"/>
      <c r="L24" s="5"/>
      <c r="M24" s="5"/>
      <c r="N24" s="5"/>
      <c r="O24" s="5"/>
      <c r="P24" s="5"/>
      <c r="Q24" s="5"/>
      <c r="R24" s="5"/>
      <c r="S24" s="5"/>
    </row>
    <row r="25" spans="3:26" s="3" customFormat="1" ht="18.75" customHeight="1" thickBot="1" x14ac:dyDescent="0.3">
      <c r="C25" s="358"/>
      <c r="D25" s="372"/>
      <c r="E25" s="73" t="s">
        <v>2</v>
      </c>
      <c r="F25" s="74" t="s">
        <v>13</v>
      </c>
      <c r="G25" s="73" t="s">
        <v>2</v>
      </c>
      <c r="H25" s="74" t="s">
        <v>13</v>
      </c>
      <c r="I25" s="73" t="s">
        <v>2</v>
      </c>
      <c r="J25" s="74" t="s">
        <v>13</v>
      </c>
      <c r="K25" s="2"/>
      <c r="L25" s="2"/>
      <c r="M25" s="2"/>
      <c r="N25" s="2"/>
      <c r="O25" s="2"/>
      <c r="P25" s="2"/>
      <c r="Q25" s="2"/>
      <c r="R25" s="2"/>
      <c r="S25" s="2"/>
    </row>
    <row r="26" spans="3:26" ht="18.75" customHeight="1" thickBot="1" x14ac:dyDescent="0.3">
      <c r="C26" s="19" t="s">
        <v>14</v>
      </c>
      <c r="D26" s="59">
        <f>SUM(E26,G26,I26)</f>
        <v>1789</v>
      </c>
      <c r="E26" s="20">
        <v>1569</v>
      </c>
      <c r="F26" s="21">
        <f>E26/$D26</f>
        <v>0.87702627166014535</v>
      </c>
      <c r="G26" s="22">
        <v>209</v>
      </c>
      <c r="H26" s="21">
        <f t="shared" ref="H26" si="0">G26/$D26</f>
        <v>0.11682504192286193</v>
      </c>
      <c r="I26" s="22">
        <v>11</v>
      </c>
      <c r="J26" s="23">
        <f t="shared" ref="J26" si="1">I26/$D26</f>
        <v>6.1486864169927333E-3</v>
      </c>
      <c r="K26" s="5"/>
      <c r="L26" s="5"/>
      <c r="M26" s="5"/>
      <c r="N26" s="5"/>
      <c r="O26" s="5"/>
      <c r="P26" s="5"/>
      <c r="Q26" s="5"/>
      <c r="R26" s="5"/>
      <c r="S26" s="5"/>
    </row>
    <row r="27" spans="3:26" s="13" customFormat="1" ht="6" customHeight="1" x14ac:dyDescent="0.25">
      <c r="C27" s="15"/>
      <c r="D27" s="16"/>
      <c r="E27" s="16"/>
      <c r="F27" s="17"/>
      <c r="G27" s="18"/>
      <c r="H27" s="17"/>
      <c r="I27" s="18"/>
      <c r="J27" s="17"/>
      <c r="K27" s="8"/>
      <c r="L27" s="8"/>
      <c r="M27" s="8"/>
      <c r="N27" s="8"/>
      <c r="O27" s="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30" spans="3:26" ht="18.75" customHeight="1" x14ac:dyDescent="0.25">
      <c r="C30" s="81" t="s">
        <v>239</v>
      </c>
    </row>
    <row r="32" spans="3:26" ht="18.75" customHeight="1" x14ac:dyDescent="0.25">
      <c r="C32" s="350"/>
      <c r="D32" s="348" t="s">
        <v>1</v>
      </c>
      <c r="E32" s="349"/>
      <c r="F32" s="349"/>
      <c r="G32" s="349"/>
      <c r="H32" s="349"/>
      <c r="I32" s="349"/>
      <c r="J32" s="349"/>
    </row>
    <row r="33" spans="2:27" ht="25.5" customHeight="1" x14ac:dyDescent="0.25">
      <c r="C33" s="350"/>
      <c r="D33" s="353" t="s">
        <v>2</v>
      </c>
      <c r="E33" s="345" t="s">
        <v>195</v>
      </c>
      <c r="F33" s="366" t="s">
        <v>3</v>
      </c>
      <c r="G33" s="369" t="s">
        <v>4</v>
      </c>
      <c r="H33" s="369"/>
      <c r="I33" s="369" t="s">
        <v>5</v>
      </c>
      <c r="J33" s="369"/>
    </row>
    <row r="34" spans="2:27" ht="18.75" customHeight="1" x14ac:dyDescent="0.25">
      <c r="C34" s="350"/>
      <c r="D34" s="353"/>
      <c r="E34" s="346"/>
      <c r="F34" s="367"/>
      <c r="G34" s="353" t="s">
        <v>11</v>
      </c>
      <c r="H34" s="353" t="s">
        <v>12</v>
      </c>
      <c r="I34" s="353" t="s">
        <v>11</v>
      </c>
      <c r="J34" s="353" t="s">
        <v>12</v>
      </c>
    </row>
    <row r="35" spans="2:27" ht="18.75" customHeight="1" thickBot="1" x14ac:dyDescent="0.3">
      <c r="C35" s="350"/>
      <c r="D35" s="353"/>
      <c r="E35" s="347"/>
      <c r="F35" s="368"/>
      <c r="G35" s="353"/>
      <c r="H35" s="353"/>
      <c r="I35" s="353"/>
      <c r="J35" s="353"/>
    </row>
    <row r="36" spans="2:27" ht="18.75" customHeight="1" thickBot="1" x14ac:dyDescent="0.3">
      <c r="C36" s="19" t="s">
        <v>14</v>
      </c>
      <c r="D36" s="20">
        <v>1778</v>
      </c>
      <c r="E36" s="21">
        <f>1/D36</f>
        <v>5.6242969628796406E-4</v>
      </c>
      <c r="F36" s="21">
        <f>458/D36</f>
        <v>0.25759280089988751</v>
      </c>
      <c r="G36" s="21">
        <f>463/D36</f>
        <v>0.26040494938132736</v>
      </c>
      <c r="H36" s="21">
        <f>65/D36</f>
        <v>3.6557930258717661E-2</v>
      </c>
      <c r="I36" s="21">
        <f>682/D36</f>
        <v>0.38357705286839144</v>
      </c>
      <c r="J36" s="23">
        <f>109/D36</f>
        <v>6.1304836895388078E-2</v>
      </c>
    </row>
    <row r="37" spans="2:27" s="13" customFormat="1" ht="6" customHeight="1" x14ac:dyDescent="0.25">
      <c r="C37" s="15"/>
      <c r="D37" s="16"/>
      <c r="E37" s="16"/>
      <c r="F37" s="17"/>
      <c r="G37" s="18"/>
      <c r="H37" s="16"/>
      <c r="I37" s="18"/>
      <c r="J37" s="16"/>
      <c r="K37" s="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8.75" customHeight="1" x14ac:dyDescent="0.25">
      <c r="C38" s="45"/>
      <c r="D38" s="43"/>
      <c r="E38" s="8"/>
      <c r="F38" s="8"/>
      <c r="G38" s="8"/>
      <c r="H38" s="8"/>
      <c r="I38" s="8"/>
    </row>
    <row r="39" spans="2:27" ht="18.75" customHeight="1" x14ac:dyDescent="0.25">
      <c r="C39" s="45"/>
      <c r="D39" s="43"/>
      <c r="E39" s="8"/>
      <c r="F39" s="8"/>
      <c r="G39" s="8"/>
      <c r="H39" s="8"/>
      <c r="I39" s="8"/>
    </row>
    <row r="40" spans="2:27" ht="18.75" customHeight="1" x14ac:dyDescent="0.25">
      <c r="C40" s="45"/>
      <c r="D40" s="43"/>
      <c r="E40" s="8"/>
      <c r="F40" s="8"/>
      <c r="G40" s="8"/>
      <c r="H40" s="8"/>
      <c r="I40" s="8"/>
    </row>
    <row r="41" spans="2:27" customFormat="1" ht="32.25" thickBot="1" x14ac:dyDescent="0.55000000000000004">
      <c r="B41" s="89" t="s">
        <v>206</v>
      </c>
      <c r="C41" s="90"/>
      <c r="D41" s="83"/>
      <c r="E41" s="83"/>
      <c r="F41" s="84"/>
      <c r="G41" s="84"/>
      <c r="H41" s="84"/>
      <c r="I41" s="84"/>
      <c r="J41" s="84"/>
      <c r="K41" s="84"/>
      <c r="L41" s="84"/>
      <c r="M41" s="84"/>
      <c r="N41" s="80"/>
      <c r="O41" s="80"/>
      <c r="P41" s="80"/>
    </row>
    <row r="42" spans="2:27" ht="18.75" customHeight="1" x14ac:dyDescent="0.25">
      <c r="J42" s="10"/>
      <c r="K42" s="10"/>
      <c r="L42" s="10"/>
      <c r="M42" s="10"/>
      <c r="N42" s="10"/>
      <c r="O42" s="10"/>
      <c r="P42" s="10"/>
      <c r="Q42" s="10"/>
      <c r="R42" s="10"/>
    </row>
    <row r="43" spans="2:27" ht="18.75" customHeight="1" x14ac:dyDescent="0.25">
      <c r="J43" s="10"/>
      <c r="K43" s="10"/>
      <c r="L43" s="10"/>
      <c r="M43" s="10"/>
      <c r="N43" s="10"/>
      <c r="O43" s="10"/>
      <c r="P43" s="10"/>
      <c r="Q43" s="10"/>
      <c r="R43" s="10"/>
    </row>
    <row r="44" spans="2:27" ht="18.75" customHeight="1" x14ac:dyDescent="0.45">
      <c r="C44" s="88" t="s">
        <v>240</v>
      </c>
      <c r="D44" s="82"/>
      <c r="E44" s="82"/>
      <c r="F44" s="80"/>
      <c r="G44" s="80"/>
      <c r="H44" s="80"/>
      <c r="I44" s="80"/>
      <c r="J44" s="80"/>
      <c r="K44" s="80"/>
      <c r="L44" s="80"/>
      <c r="M44" s="80"/>
      <c r="N44" s="10"/>
      <c r="O44" s="10"/>
      <c r="P44" s="10"/>
      <c r="Q44" s="10"/>
      <c r="R44" s="10"/>
    </row>
    <row r="45" spans="2:27" ht="18.75" customHeight="1" x14ac:dyDescent="0.25">
      <c r="J45" s="10"/>
      <c r="K45" s="10"/>
      <c r="L45" s="10"/>
      <c r="M45" s="10"/>
      <c r="N45" s="10"/>
      <c r="O45" s="10"/>
      <c r="P45" s="10"/>
      <c r="Q45" s="10"/>
      <c r="R45" s="10"/>
    </row>
    <row r="46" spans="2:27" ht="18.75" customHeight="1" x14ac:dyDescent="0.25">
      <c r="J46" s="10"/>
      <c r="K46" s="10"/>
      <c r="L46" s="10"/>
      <c r="M46" s="10"/>
      <c r="N46" s="10"/>
      <c r="O46" s="10"/>
      <c r="P46" s="10"/>
      <c r="Q46" s="10"/>
      <c r="R46" s="10"/>
    </row>
    <row r="47" spans="2:27" ht="18.75" customHeight="1" x14ac:dyDescent="0.25">
      <c r="C47" s="81" t="s">
        <v>242</v>
      </c>
    </row>
    <row r="49" spans="3:28" ht="18.75" customHeight="1" x14ac:dyDescent="0.25">
      <c r="C49" s="339"/>
      <c r="D49" s="348" t="s">
        <v>19</v>
      </c>
      <c r="E49" s="349"/>
      <c r="F49" s="349"/>
      <c r="G49" s="348" t="s">
        <v>20</v>
      </c>
      <c r="H49" s="349"/>
      <c r="I49" s="349"/>
      <c r="J49" s="349"/>
      <c r="K49" s="349"/>
      <c r="L49" s="349"/>
      <c r="M49" s="370"/>
    </row>
    <row r="50" spans="3:28" s="3" customFormat="1" ht="28.5" customHeight="1" thickBot="1" x14ac:dyDescent="0.3">
      <c r="C50" s="339"/>
      <c r="D50" s="24" t="s">
        <v>2</v>
      </c>
      <c r="E50" s="24" t="s">
        <v>21</v>
      </c>
      <c r="F50" s="24" t="s">
        <v>22</v>
      </c>
      <c r="G50" s="26" t="s">
        <v>2</v>
      </c>
      <c r="H50" s="26" t="s">
        <v>23</v>
      </c>
      <c r="I50" s="26" t="s">
        <v>24</v>
      </c>
      <c r="J50" s="26" t="s">
        <v>25</v>
      </c>
      <c r="K50" s="153" t="s">
        <v>336</v>
      </c>
      <c r="L50" s="26" t="s">
        <v>27</v>
      </c>
      <c r="M50" s="26" t="s">
        <v>28</v>
      </c>
    </row>
    <row r="51" spans="3:28" ht="18.75" customHeight="1" thickBot="1" x14ac:dyDescent="0.3">
      <c r="C51" s="19" t="s">
        <v>14</v>
      </c>
      <c r="D51" s="20">
        <v>1778</v>
      </c>
      <c r="E51" s="21">
        <f>1203/D51</f>
        <v>0.67660292463442073</v>
      </c>
      <c r="F51" s="21">
        <f>575/D51</f>
        <v>0.32339707536557932</v>
      </c>
      <c r="G51" s="20">
        <v>1778</v>
      </c>
      <c r="H51" s="21">
        <f>995/G51</f>
        <v>0.55961754780652417</v>
      </c>
      <c r="I51" s="21">
        <f>313/G51</f>
        <v>0.17604049493813273</v>
      </c>
      <c r="J51" s="21">
        <f>245/G51</f>
        <v>0.13779527559055119</v>
      </c>
      <c r="K51" s="21">
        <f>101/G51</f>
        <v>5.6805399325084362E-2</v>
      </c>
      <c r="L51" s="21">
        <f>37/G51</f>
        <v>2.0809898762654669E-2</v>
      </c>
      <c r="M51" s="23">
        <f>87/G51</f>
        <v>4.8931383577052866E-2</v>
      </c>
    </row>
    <row r="52" spans="3:28" s="13" customFormat="1" ht="6" customHeight="1" x14ac:dyDescent="0.25">
      <c r="C52" s="15"/>
      <c r="D52" s="16"/>
      <c r="E52" s="17"/>
      <c r="F52" s="18"/>
      <c r="G52" s="17"/>
      <c r="H52" s="18"/>
      <c r="I52" s="17"/>
      <c r="J52" s="16"/>
      <c r="K52" s="8"/>
      <c r="L52" s="8"/>
      <c r="M52" s="8"/>
      <c r="N52" s="8"/>
      <c r="O52" s="2"/>
      <c r="P52" s="2"/>
      <c r="Q52" s="2"/>
    </row>
    <row r="53" spans="3:28" ht="18.75" customHeight="1" x14ac:dyDescent="0.25">
      <c r="J53" s="10"/>
    </row>
    <row r="54" spans="3:28" ht="18.75" customHeight="1" x14ac:dyDescent="0.25">
      <c r="J54" s="10"/>
    </row>
    <row r="55" spans="3:28" ht="18.75" customHeight="1" x14ac:dyDescent="0.25">
      <c r="C55" s="81" t="s">
        <v>241</v>
      </c>
    </row>
    <row r="57" spans="3:28" ht="18.75" customHeight="1" x14ac:dyDescent="0.25">
      <c r="C57" s="339"/>
      <c r="D57" s="354" t="s">
        <v>29</v>
      </c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6"/>
    </row>
    <row r="58" spans="3:28" s="3" customFormat="1" ht="28.5" customHeight="1" thickBot="1" x14ac:dyDescent="0.3">
      <c r="C58" s="339"/>
      <c r="D58" s="26" t="s">
        <v>2</v>
      </c>
      <c r="E58" s="36" t="s">
        <v>195</v>
      </c>
      <c r="F58" s="26" t="s">
        <v>30</v>
      </c>
      <c r="G58" s="26" t="s">
        <v>31</v>
      </c>
      <c r="H58" s="26" t="s">
        <v>32</v>
      </c>
      <c r="I58" s="26" t="s">
        <v>33</v>
      </c>
      <c r="J58" s="37" t="s">
        <v>193</v>
      </c>
      <c r="K58" s="26" t="s">
        <v>34</v>
      </c>
      <c r="L58" s="26" t="s">
        <v>35</v>
      </c>
      <c r="M58" s="26" t="s">
        <v>36</v>
      </c>
      <c r="N58" s="26" t="s">
        <v>37</v>
      </c>
      <c r="O58" s="26" t="s">
        <v>38</v>
      </c>
      <c r="P58" s="26" t="s">
        <v>39</v>
      </c>
      <c r="Q58" s="26" t="s">
        <v>40</v>
      </c>
    </row>
    <row r="59" spans="3:28" s="3" customFormat="1" ht="18.75" customHeight="1" thickBot="1" x14ac:dyDescent="0.3">
      <c r="C59" s="19" t="s">
        <v>14</v>
      </c>
      <c r="D59" s="20">
        <v>1778</v>
      </c>
      <c r="E59" s="21">
        <f>1/D59</f>
        <v>5.6242969628796406E-4</v>
      </c>
      <c r="F59" s="21">
        <f>567/D59</f>
        <v>0.31889763779527558</v>
      </c>
      <c r="G59" s="21">
        <f>52/D59</f>
        <v>2.9246344206974129E-2</v>
      </c>
      <c r="H59" s="21">
        <f>10/D59</f>
        <v>5.6242969628796397E-3</v>
      </c>
      <c r="I59" s="21">
        <f>4/D59</f>
        <v>2.2497187851518562E-3</v>
      </c>
      <c r="J59" s="21">
        <f>47/D59</f>
        <v>2.6434195725534307E-2</v>
      </c>
      <c r="K59" s="21">
        <f>21/D59</f>
        <v>1.1811023622047244E-2</v>
      </c>
      <c r="L59" s="21">
        <f>186/D59</f>
        <v>0.10461192350956131</v>
      </c>
      <c r="M59" s="21">
        <f>325/D59</f>
        <v>0.18278965129358829</v>
      </c>
      <c r="N59" s="21">
        <f>16/D59</f>
        <v>8.9988751406074249E-3</v>
      </c>
      <c r="O59" s="21">
        <f>5/D59</f>
        <v>2.8121484814398199E-3</v>
      </c>
      <c r="P59" s="21">
        <f>438/D59</f>
        <v>0.24634420697412823</v>
      </c>
      <c r="Q59" s="23">
        <f>106/D59</f>
        <v>5.9617547806524188E-2</v>
      </c>
    </row>
    <row r="60" spans="3:28" s="13" customFormat="1" ht="6" customHeight="1" x14ac:dyDescent="0.25">
      <c r="C60" s="28"/>
      <c r="D60" s="16"/>
      <c r="E60" s="18"/>
      <c r="F60" s="17"/>
      <c r="G60" s="18"/>
      <c r="H60" s="17"/>
      <c r="I60" s="18"/>
      <c r="J60" s="18"/>
      <c r="K60" s="17"/>
      <c r="L60" s="16"/>
      <c r="M60" s="8"/>
      <c r="N60" s="8"/>
      <c r="O60" s="8"/>
      <c r="P60" s="8"/>
      <c r="Q60" s="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3" spans="3:28" ht="18.75" customHeight="1" x14ac:dyDescent="0.45">
      <c r="C63" s="88" t="s">
        <v>243</v>
      </c>
      <c r="D63" s="82"/>
      <c r="E63" s="82"/>
      <c r="F63" s="80"/>
      <c r="G63" s="80"/>
      <c r="H63" s="80"/>
      <c r="I63" s="80"/>
      <c r="J63" s="80"/>
      <c r="K63" s="80"/>
      <c r="L63" s="80"/>
      <c r="M63" s="80"/>
      <c r="N63" s="10"/>
      <c r="O63" s="10"/>
      <c r="P63" s="10"/>
      <c r="Q63" s="10"/>
      <c r="R63" s="10"/>
    </row>
    <row r="64" spans="3:28" ht="18.75" customHeight="1" x14ac:dyDescent="0.25">
      <c r="J64" s="10"/>
      <c r="K64" s="10"/>
      <c r="L64" s="10"/>
      <c r="M64" s="10"/>
      <c r="N64" s="10"/>
      <c r="O64" s="10"/>
      <c r="P64" s="10"/>
      <c r="Q64" s="10"/>
      <c r="R64" s="10"/>
    </row>
    <row r="65" spans="3:27" ht="18.75" customHeight="1" x14ac:dyDescent="0.25">
      <c r="J65" s="10"/>
      <c r="K65" s="10"/>
      <c r="L65" s="10"/>
      <c r="M65" s="10"/>
      <c r="N65" s="10"/>
      <c r="O65" s="10"/>
      <c r="P65" s="10"/>
      <c r="Q65" s="10"/>
      <c r="R65" s="10"/>
    </row>
    <row r="66" spans="3:27" ht="18.75" customHeight="1" x14ac:dyDescent="0.25">
      <c r="C66" s="81" t="s">
        <v>300</v>
      </c>
    </row>
    <row r="68" spans="3:27" s="3" customFormat="1" ht="27.75" customHeight="1" thickBot="1" x14ac:dyDescent="0.3">
      <c r="C68" s="101"/>
      <c r="D68" s="76" t="s">
        <v>2</v>
      </c>
      <c r="E68" s="76" t="s">
        <v>195</v>
      </c>
      <c r="F68" s="76" t="s">
        <v>41</v>
      </c>
      <c r="G68" s="76" t="s">
        <v>42</v>
      </c>
      <c r="H68" s="76" t="s">
        <v>43</v>
      </c>
      <c r="I68" s="76" t="s">
        <v>44</v>
      </c>
      <c r="J68" s="76" t="s">
        <v>45</v>
      </c>
    </row>
    <row r="69" spans="3:27" s="3" customFormat="1" ht="18.75" customHeight="1" thickBot="1" x14ac:dyDescent="0.3">
      <c r="C69" s="19" t="s">
        <v>14</v>
      </c>
      <c r="D69" s="20">
        <v>1778</v>
      </c>
      <c r="E69" s="21">
        <f>1/D69</f>
        <v>5.6242969628796406E-4</v>
      </c>
      <c r="F69" s="21">
        <f>850/D69</f>
        <v>0.4780652418447694</v>
      </c>
      <c r="G69" s="21">
        <f>306/D69</f>
        <v>0.17210348706411699</v>
      </c>
      <c r="H69" s="21">
        <f>224/D69</f>
        <v>0.12598425196850394</v>
      </c>
      <c r="I69" s="21">
        <f>307/D69</f>
        <v>0.17266591676040494</v>
      </c>
      <c r="J69" s="21">
        <f>90/D69</f>
        <v>5.0618672665916763E-2</v>
      </c>
    </row>
    <row r="70" spans="3:27" s="13" customFormat="1" ht="6" customHeight="1" x14ac:dyDescent="0.25">
      <c r="C70" s="28"/>
      <c r="D70" s="29"/>
      <c r="E70" s="31"/>
      <c r="F70" s="30"/>
      <c r="G70" s="31"/>
      <c r="H70" s="30"/>
      <c r="I70" s="31"/>
      <c r="J70" s="30"/>
      <c r="P70" s="2"/>
      <c r="Q70" s="2"/>
      <c r="R70" s="2"/>
      <c r="S70" s="2"/>
      <c r="T70" s="2"/>
    </row>
    <row r="73" spans="3:27" ht="18.75" customHeight="1" x14ac:dyDescent="0.25">
      <c r="C73" s="81" t="s">
        <v>244</v>
      </c>
    </row>
    <row r="75" spans="3:27" ht="27" customHeight="1" x14ac:dyDescent="0.25">
      <c r="C75" s="318"/>
      <c r="D75" s="323" t="s">
        <v>2</v>
      </c>
      <c r="E75" s="321" t="s">
        <v>53</v>
      </c>
      <c r="F75" s="321"/>
      <c r="G75" s="321" t="s">
        <v>54</v>
      </c>
      <c r="H75" s="321"/>
      <c r="I75" s="321" t="s">
        <v>55</v>
      </c>
      <c r="J75" s="321"/>
    </row>
    <row r="76" spans="3:27" ht="27" customHeight="1" thickBot="1" x14ac:dyDescent="0.3">
      <c r="C76" s="320"/>
      <c r="D76" s="325"/>
      <c r="E76" s="72" t="s">
        <v>64</v>
      </c>
      <c r="F76" s="72" t="s">
        <v>65</v>
      </c>
      <c r="G76" s="72" t="s">
        <v>64</v>
      </c>
      <c r="H76" s="72" t="s">
        <v>65</v>
      </c>
      <c r="I76" s="72" t="s">
        <v>66</v>
      </c>
      <c r="J76" s="72" t="s">
        <v>67</v>
      </c>
    </row>
    <row r="77" spans="3:27" ht="18.75" customHeight="1" thickBot="1" x14ac:dyDescent="0.3">
      <c r="C77" s="19" t="s">
        <v>14</v>
      </c>
      <c r="D77" s="20">
        <v>1778</v>
      </c>
      <c r="E77" s="21">
        <f>1076/D77</f>
        <v>0.60517435320584922</v>
      </c>
      <c r="F77" s="21">
        <f>120/D77</f>
        <v>6.7491563554555684E-2</v>
      </c>
      <c r="G77" s="21">
        <f>246/D77</f>
        <v>0.13835770528683913</v>
      </c>
      <c r="H77" s="21">
        <f>59/D77</f>
        <v>3.3183352080989874E-2</v>
      </c>
      <c r="I77" s="21">
        <f>134/D77</f>
        <v>7.536557930258718E-2</v>
      </c>
      <c r="J77" s="23">
        <f>143/D77</f>
        <v>8.0427446569178856E-2</v>
      </c>
    </row>
    <row r="78" spans="3:27" s="13" customFormat="1" ht="6" customHeight="1" x14ac:dyDescent="0.25">
      <c r="C78" s="28"/>
      <c r="D78" s="29"/>
      <c r="E78" s="31"/>
      <c r="F78" s="30"/>
      <c r="G78" s="31"/>
      <c r="H78" s="30"/>
      <c r="I78" s="31"/>
      <c r="J78" s="30"/>
      <c r="K78" s="49"/>
      <c r="L78" s="49"/>
      <c r="M78" s="32"/>
      <c r="N78" s="32"/>
      <c r="O78" s="32"/>
      <c r="P78" s="32"/>
      <c r="Q78" s="32"/>
      <c r="R78" s="2"/>
      <c r="S78" s="2"/>
      <c r="T78" s="2"/>
      <c r="U78" s="2"/>
      <c r="V78" s="2"/>
      <c r="W78" s="2"/>
      <c r="X78" s="2"/>
      <c r="Y78" s="2"/>
      <c r="Z78" s="2"/>
      <c r="AA78" s="2"/>
    </row>
    <row r="81" spans="3:27" ht="18.75" customHeight="1" x14ac:dyDescent="0.25">
      <c r="C81" s="81" t="s">
        <v>245</v>
      </c>
    </row>
    <row r="83" spans="3:27" ht="26.25" customHeight="1" thickBot="1" x14ac:dyDescent="0.3">
      <c r="C83" s="101"/>
      <c r="D83" s="71" t="s">
        <v>2</v>
      </c>
      <c r="E83" s="71" t="s">
        <v>195</v>
      </c>
      <c r="F83" s="71" t="s">
        <v>46</v>
      </c>
      <c r="G83" s="71" t="s">
        <v>47</v>
      </c>
      <c r="H83" s="71" t="s">
        <v>48</v>
      </c>
      <c r="I83" s="71" t="s">
        <v>49</v>
      </c>
      <c r="J83" s="71" t="s">
        <v>50</v>
      </c>
    </row>
    <row r="84" spans="3:27" ht="18.75" customHeight="1" thickBot="1" x14ac:dyDescent="0.3">
      <c r="C84" s="19" t="s">
        <v>14</v>
      </c>
      <c r="D84" s="20">
        <v>1778</v>
      </c>
      <c r="E84" s="21">
        <f>2/D84</f>
        <v>1.1248593925759281E-3</v>
      </c>
      <c r="F84" s="21">
        <f>1128/D84</f>
        <v>0.63442069741282336</v>
      </c>
      <c r="G84" s="21">
        <f>172/D84</f>
        <v>9.6737907761529809E-2</v>
      </c>
      <c r="H84" s="21">
        <f>406/D84</f>
        <v>0.2283464566929134</v>
      </c>
      <c r="I84" s="21">
        <f>63/D84</f>
        <v>3.5433070866141732E-2</v>
      </c>
      <c r="J84" s="21">
        <f>7/D84</f>
        <v>3.937007874015748E-3</v>
      </c>
    </row>
    <row r="85" spans="3:27" s="13" customFormat="1" ht="6" customHeight="1" x14ac:dyDescent="0.25">
      <c r="C85" s="28"/>
      <c r="D85" s="29"/>
      <c r="E85" s="31"/>
      <c r="F85" s="30"/>
      <c r="G85" s="31"/>
      <c r="H85" s="30"/>
      <c r="I85" s="31"/>
      <c r="J85" s="30"/>
      <c r="K85" s="49"/>
      <c r="L85" s="49"/>
      <c r="M85" s="32"/>
      <c r="N85" s="32"/>
      <c r="O85" s="32"/>
      <c r="P85" s="32"/>
      <c r="Q85" s="3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8" spans="3:27" ht="18.75" customHeight="1" x14ac:dyDescent="0.25">
      <c r="C88" s="81" t="s">
        <v>308</v>
      </c>
    </row>
    <row r="90" spans="3:27" ht="26.25" customHeight="1" thickBot="1" x14ac:dyDescent="0.3">
      <c r="C90" s="101"/>
      <c r="D90" s="71" t="s">
        <v>2</v>
      </c>
      <c r="E90" s="71" t="s">
        <v>195</v>
      </c>
      <c r="F90" s="71" t="s">
        <v>246</v>
      </c>
      <c r="G90" s="71" t="s">
        <v>247</v>
      </c>
    </row>
    <row r="91" spans="3:27" ht="18.75" customHeight="1" thickBot="1" x14ac:dyDescent="0.3">
      <c r="C91" s="19" t="s">
        <v>14</v>
      </c>
      <c r="D91" s="20">
        <v>1715</v>
      </c>
      <c r="E91" s="21">
        <f>1/D91</f>
        <v>5.8309037900874635E-4</v>
      </c>
      <c r="F91" s="21">
        <f>1585/D91</f>
        <v>0.92419825072886297</v>
      </c>
      <c r="G91" s="21">
        <f>129/D91</f>
        <v>7.5218658892128282E-2</v>
      </c>
    </row>
    <row r="92" spans="3:27" s="13" customFormat="1" ht="6" customHeight="1" x14ac:dyDescent="0.25">
      <c r="C92" s="28"/>
      <c r="D92" s="29"/>
      <c r="E92" s="31"/>
      <c r="F92" s="30"/>
      <c r="G92" s="31"/>
      <c r="H92" s="49"/>
      <c r="I92" s="2"/>
      <c r="J92" s="2"/>
      <c r="K92" s="2"/>
      <c r="L92" s="2"/>
      <c r="M92" s="2"/>
      <c r="N92" s="2"/>
    </row>
    <row r="95" spans="3:27" ht="18.75" customHeight="1" x14ac:dyDescent="0.25">
      <c r="C95" s="81" t="s">
        <v>248</v>
      </c>
    </row>
    <row r="96" spans="3:27" ht="18.75" customHeight="1" x14ac:dyDescent="0.25">
      <c r="C96" s="102" t="s">
        <v>301</v>
      </c>
    </row>
    <row r="98" spans="3:28" ht="30.75" customHeight="1" thickBot="1" x14ac:dyDescent="0.3">
      <c r="C98" s="101"/>
      <c r="D98" s="26" t="s">
        <v>2</v>
      </c>
      <c r="E98" s="71" t="s">
        <v>195</v>
      </c>
      <c r="F98" s="26" t="s">
        <v>51</v>
      </c>
      <c r="G98" s="26" t="s">
        <v>52</v>
      </c>
      <c r="H98" s="153" t="s">
        <v>337</v>
      </c>
    </row>
    <row r="99" spans="3:28" ht="18.75" customHeight="1" thickBot="1" x14ac:dyDescent="0.3">
      <c r="C99" s="19" t="s">
        <v>14</v>
      </c>
      <c r="D99" s="22">
        <v>223</v>
      </c>
      <c r="E99" s="21">
        <f>3/D99</f>
        <v>1.3452914798206279E-2</v>
      </c>
      <c r="F99" s="21">
        <f>54/D99</f>
        <v>0.24215246636771301</v>
      </c>
      <c r="G99" s="21">
        <f>119/D99</f>
        <v>0.53363228699551568</v>
      </c>
      <c r="H99" s="21">
        <f>47/D99</f>
        <v>0.21076233183856502</v>
      </c>
    </row>
    <row r="100" spans="3:28" s="13" customFormat="1" ht="6" customHeight="1" x14ac:dyDescent="0.25">
      <c r="C100" s="28"/>
      <c r="D100" s="29"/>
      <c r="E100" s="31"/>
      <c r="F100" s="30"/>
      <c r="G100" s="31"/>
      <c r="H100" s="49"/>
      <c r="I100" s="49"/>
      <c r="J100" s="32"/>
      <c r="K100" s="32"/>
      <c r="L100" s="32"/>
      <c r="M100" s="3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8" ht="18.75" customHeight="1" x14ac:dyDescent="0.25">
      <c r="C101" s="45"/>
    </row>
    <row r="102" spans="3:28" ht="18.75" customHeight="1" x14ac:dyDescent="0.25">
      <c r="C102" s="45"/>
    </row>
    <row r="103" spans="3:28" ht="18.75" customHeight="1" x14ac:dyDescent="0.25">
      <c r="C103" s="81" t="s">
        <v>249</v>
      </c>
    </row>
    <row r="104" spans="3:28" ht="18.75" customHeight="1" x14ac:dyDescent="0.25">
      <c r="C104" s="45"/>
    </row>
    <row r="105" spans="3:28" s="3" customFormat="1" ht="18.75" customHeight="1" x14ac:dyDescent="0.25">
      <c r="C105" s="339"/>
      <c r="D105" s="312" t="s">
        <v>104</v>
      </c>
      <c r="E105" s="313"/>
      <c r="F105" s="313"/>
      <c r="G105" s="313"/>
      <c r="H105" s="312" t="s">
        <v>105</v>
      </c>
      <c r="I105" s="313"/>
      <c r="J105" s="313"/>
      <c r="K105" s="313"/>
      <c r="L105" s="313"/>
      <c r="M105" s="313"/>
      <c r="N105" s="313"/>
      <c r="O105" s="313"/>
      <c r="P105" s="314"/>
    </row>
    <row r="106" spans="3:28" s="3" customFormat="1" ht="25.5" customHeight="1" thickBot="1" x14ac:dyDescent="0.3">
      <c r="C106" s="339"/>
      <c r="D106" s="36" t="s">
        <v>2</v>
      </c>
      <c r="E106" s="36" t="s">
        <v>195</v>
      </c>
      <c r="F106" s="36" t="s">
        <v>106</v>
      </c>
      <c r="G106" s="36" t="s">
        <v>107</v>
      </c>
      <c r="H106" s="36" t="s">
        <v>2</v>
      </c>
      <c r="I106" s="36" t="s">
        <v>195</v>
      </c>
      <c r="J106" s="35" t="s">
        <v>108</v>
      </c>
      <c r="K106" s="35" t="s">
        <v>109</v>
      </c>
      <c r="L106" s="35" t="s">
        <v>110</v>
      </c>
      <c r="M106" s="35" t="s">
        <v>111</v>
      </c>
      <c r="N106" s="36" t="s">
        <v>112</v>
      </c>
      <c r="O106" s="35" t="s">
        <v>113</v>
      </c>
      <c r="P106" s="35" t="s">
        <v>114</v>
      </c>
    </row>
    <row r="107" spans="3:28" s="3" customFormat="1" ht="18.75" customHeight="1" thickBot="1" x14ac:dyDescent="0.3">
      <c r="C107" s="19" t="s">
        <v>14</v>
      </c>
      <c r="D107" s="39">
        <v>1778</v>
      </c>
      <c r="E107" s="40">
        <f>2/D107</f>
        <v>1.1248593925759281E-3</v>
      </c>
      <c r="F107" s="40">
        <f>241/D107</f>
        <v>0.13554555680539931</v>
      </c>
      <c r="G107" s="40">
        <f>1535/D107</f>
        <v>0.86332958380202474</v>
      </c>
      <c r="H107" s="39">
        <v>1778</v>
      </c>
      <c r="I107" s="40">
        <f>0/H107</f>
        <v>0</v>
      </c>
      <c r="J107" s="40">
        <f>1442/H107</f>
        <v>0.8110236220472441</v>
      </c>
      <c r="K107" s="40">
        <f>71/H107</f>
        <v>3.9932508436445448E-2</v>
      </c>
      <c r="L107" s="40">
        <f>48/H107</f>
        <v>2.6996625421822271E-2</v>
      </c>
      <c r="M107" s="40">
        <f>51/H107</f>
        <v>2.8683914510686165E-2</v>
      </c>
      <c r="N107" s="40">
        <f>111/H107</f>
        <v>6.2429696287964007E-2</v>
      </c>
      <c r="O107" s="40">
        <f>37/H107</f>
        <v>2.0809898762654669E-2</v>
      </c>
      <c r="P107" s="41">
        <f>18/H107</f>
        <v>1.0123734533183352E-2</v>
      </c>
    </row>
    <row r="108" spans="3:28" s="13" customFormat="1" ht="6" customHeight="1" x14ac:dyDescent="0.25">
      <c r="C108" s="28"/>
      <c r="D108" s="29"/>
      <c r="E108" s="31"/>
      <c r="F108" s="30"/>
      <c r="G108" s="31"/>
      <c r="H108" s="30"/>
      <c r="I108" s="30"/>
      <c r="J108" s="31"/>
      <c r="K108" s="30"/>
      <c r="L108" s="29"/>
      <c r="M108" s="32"/>
      <c r="N108" s="32"/>
      <c r="O108" s="32"/>
      <c r="P108" s="32"/>
      <c r="Q108" s="3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8.75" customHeight="1" x14ac:dyDescent="0.25">
      <c r="C109" s="45"/>
    </row>
    <row r="110" spans="3:28" ht="18.75" customHeight="1" x14ac:dyDescent="0.25">
      <c r="C110" s="45"/>
    </row>
    <row r="111" spans="3:28" ht="18.75" customHeight="1" x14ac:dyDescent="0.25">
      <c r="C111" s="81" t="s">
        <v>250</v>
      </c>
    </row>
    <row r="112" spans="3:28" ht="18.75" customHeight="1" x14ac:dyDescent="0.25">
      <c r="C112" s="102" t="s">
        <v>302</v>
      </c>
    </row>
    <row r="113" spans="3:20" ht="18.75" customHeight="1" x14ac:dyDescent="0.25">
      <c r="C113" s="45"/>
    </row>
    <row r="114" spans="3:20" s="3" customFormat="1" ht="26.25" customHeight="1" thickBot="1" x14ac:dyDescent="0.3">
      <c r="C114" s="101"/>
      <c r="D114" s="26" t="s">
        <v>2</v>
      </c>
      <c r="E114" s="36" t="s">
        <v>195</v>
      </c>
      <c r="F114" s="26" t="s">
        <v>56</v>
      </c>
      <c r="G114" s="26" t="s">
        <v>57</v>
      </c>
      <c r="H114" s="26" t="s">
        <v>58</v>
      </c>
      <c r="I114" s="26" t="s">
        <v>59</v>
      </c>
      <c r="J114" s="26" t="s">
        <v>60</v>
      </c>
      <c r="K114" s="26" t="s">
        <v>61</v>
      </c>
      <c r="L114" s="26" t="s">
        <v>62</v>
      </c>
      <c r="M114" s="26" t="s">
        <v>63</v>
      </c>
      <c r="N114" s="2"/>
    </row>
    <row r="115" spans="3:20" s="3" customFormat="1" ht="18.75" customHeight="1" thickBot="1" x14ac:dyDescent="0.3">
      <c r="C115" s="19" t="s">
        <v>14</v>
      </c>
      <c r="D115" s="20">
        <v>1778</v>
      </c>
      <c r="E115" s="21">
        <f>86/D115</f>
        <v>4.8368953880764905E-2</v>
      </c>
      <c r="F115" s="21">
        <f>52/D115</f>
        <v>2.9246344206974129E-2</v>
      </c>
      <c r="G115" s="21">
        <f>57/D115</f>
        <v>3.2058492688413945E-2</v>
      </c>
      <c r="H115" s="21">
        <f>80/D115</f>
        <v>4.4994375703037118E-2</v>
      </c>
      <c r="I115" s="21">
        <f>102/D115</f>
        <v>5.736782902137233E-2</v>
      </c>
      <c r="J115" s="21">
        <f>355/D115</f>
        <v>0.19966254218222723</v>
      </c>
      <c r="K115" s="21">
        <f>436/D115</f>
        <v>0.24521934758155231</v>
      </c>
      <c r="L115" s="21">
        <f>430/D115</f>
        <v>0.24184476940382452</v>
      </c>
      <c r="M115" s="21">
        <f>180/D115</f>
        <v>0.10123734533183353</v>
      </c>
    </row>
    <row r="116" spans="3:20" s="13" customFormat="1" ht="6" customHeight="1" x14ac:dyDescent="0.25">
      <c r="C116" s="28"/>
      <c r="D116" s="29"/>
      <c r="E116" s="31"/>
      <c r="F116" s="30"/>
      <c r="G116" s="31"/>
      <c r="H116" s="30"/>
      <c r="I116" s="31"/>
      <c r="J116" s="30"/>
      <c r="K116" s="29"/>
      <c r="L116" s="32"/>
      <c r="M116" s="32"/>
      <c r="N116" s="2"/>
      <c r="O116" s="2"/>
      <c r="P116" s="2"/>
      <c r="Q116" s="2"/>
      <c r="R116" s="2"/>
      <c r="S116" s="2"/>
      <c r="T116" s="2"/>
    </row>
    <row r="117" spans="3:20" ht="18.75" customHeight="1" x14ac:dyDescent="0.25">
      <c r="D117" s="5"/>
      <c r="E117" s="5"/>
      <c r="F117" s="5"/>
      <c r="G117" s="5"/>
      <c r="H117" s="5"/>
      <c r="I117" s="5"/>
      <c r="J117" s="7"/>
      <c r="K117" s="5"/>
      <c r="L117" s="6"/>
      <c r="M117" s="6"/>
      <c r="N117" s="6"/>
      <c r="O117" s="6"/>
      <c r="P117" s="6"/>
      <c r="Q117" s="6"/>
    </row>
    <row r="118" spans="3:20" ht="18.75" customHeight="1" x14ac:dyDescent="0.25">
      <c r="D118" s="5"/>
      <c r="E118" s="5"/>
      <c r="F118" s="5"/>
      <c r="G118" s="5"/>
      <c r="H118" s="5"/>
      <c r="I118" s="5"/>
      <c r="J118" s="7"/>
      <c r="K118" s="5"/>
      <c r="L118" s="6"/>
      <c r="M118" s="6"/>
      <c r="N118" s="6"/>
      <c r="O118" s="6"/>
      <c r="P118" s="6"/>
      <c r="Q118" s="6"/>
    </row>
    <row r="119" spans="3:20" ht="18.75" customHeight="1" x14ac:dyDescent="0.25">
      <c r="C119" s="81" t="s">
        <v>309</v>
      </c>
    </row>
    <row r="120" spans="3:20" ht="18.75" customHeight="1" x14ac:dyDescent="0.25">
      <c r="C120" s="45"/>
    </row>
    <row r="121" spans="3:20" ht="18.75" customHeight="1" x14ac:dyDescent="0.25">
      <c r="C121" s="309"/>
      <c r="D121" s="312" t="s">
        <v>251</v>
      </c>
      <c r="E121" s="313"/>
      <c r="F121" s="313"/>
      <c r="G121" s="313"/>
      <c r="H121" s="313"/>
      <c r="I121" s="313"/>
      <c r="J121" s="313"/>
      <c r="K121" s="314"/>
      <c r="L121" s="5"/>
    </row>
    <row r="122" spans="3:20" s="3" customFormat="1" ht="26.25" customHeight="1" thickBot="1" x14ac:dyDescent="0.3">
      <c r="C122" s="311"/>
      <c r="D122" s="71" t="s">
        <v>2</v>
      </c>
      <c r="E122" s="71" t="s">
        <v>195</v>
      </c>
      <c r="F122" s="153" t="s">
        <v>338</v>
      </c>
      <c r="G122" s="71" t="s">
        <v>252</v>
      </c>
      <c r="H122" s="71" t="s">
        <v>253</v>
      </c>
      <c r="I122" s="71" t="s">
        <v>254</v>
      </c>
      <c r="J122" s="71" t="s">
        <v>255</v>
      </c>
      <c r="K122" s="71" t="s">
        <v>256</v>
      </c>
      <c r="L122" s="2"/>
    </row>
    <row r="123" spans="3:20" s="3" customFormat="1" ht="18.75" customHeight="1" thickBot="1" x14ac:dyDescent="0.3">
      <c r="C123" s="19" t="s">
        <v>14</v>
      </c>
      <c r="D123" s="20">
        <v>1715</v>
      </c>
      <c r="E123" s="21">
        <f>18/D123</f>
        <v>1.0495626822157435E-2</v>
      </c>
      <c r="F123" s="21">
        <f>283/D123</f>
        <v>0.16501457725947521</v>
      </c>
      <c r="G123" s="21">
        <f>352/D123</f>
        <v>0.20524781341107873</v>
      </c>
      <c r="H123" s="21">
        <f>161/D123</f>
        <v>9.3877551020408165E-2</v>
      </c>
      <c r="I123" s="21">
        <f>201/D123</f>
        <v>0.11720116618075802</v>
      </c>
      <c r="J123" s="21">
        <f>127/D123</f>
        <v>7.4052478134110783E-2</v>
      </c>
      <c r="K123" s="21">
        <f>573/D123</f>
        <v>0.33411078717201165</v>
      </c>
    </row>
    <row r="124" spans="3:20" s="13" customFormat="1" ht="6" customHeight="1" x14ac:dyDescent="0.25">
      <c r="C124" s="28"/>
      <c r="D124" s="29"/>
      <c r="E124" s="31"/>
      <c r="F124" s="30"/>
      <c r="G124" s="31"/>
      <c r="H124" s="30"/>
      <c r="I124" s="31"/>
      <c r="J124" s="30"/>
      <c r="K124" s="29"/>
      <c r="L124" s="2"/>
      <c r="M124" s="2"/>
      <c r="N124" s="2"/>
      <c r="O124" s="2"/>
      <c r="P124" s="2"/>
      <c r="Q124" s="2"/>
      <c r="R124" s="2"/>
    </row>
    <row r="125" spans="3:20" ht="18.75" customHeight="1" x14ac:dyDescent="0.25">
      <c r="D125" s="5"/>
      <c r="E125" s="5"/>
      <c r="F125" s="5"/>
      <c r="G125" s="5"/>
      <c r="H125" s="5"/>
      <c r="I125" s="5"/>
      <c r="J125" s="7"/>
      <c r="K125" s="5"/>
      <c r="L125" s="6"/>
      <c r="M125" s="6"/>
      <c r="N125" s="6"/>
      <c r="O125" s="6"/>
      <c r="P125" s="6"/>
      <c r="Q125" s="6"/>
    </row>
    <row r="126" spans="3:20" ht="18.75" customHeight="1" x14ac:dyDescent="0.25">
      <c r="D126" s="5"/>
      <c r="E126" s="5"/>
      <c r="F126" s="5"/>
      <c r="G126" s="5"/>
      <c r="H126" s="5"/>
      <c r="I126" s="5"/>
      <c r="J126" s="7"/>
      <c r="K126" s="5"/>
      <c r="L126" s="6"/>
      <c r="M126" s="6"/>
      <c r="N126" s="6"/>
      <c r="O126" s="6"/>
      <c r="P126" s="6"/>
      <c r="Q126" s="6"/>
    </row>
    <row r="127" spans="3:20" ht="18.75" customHeight="1" x14ac:dyDescent="0.25">
      <c r="C127" s="81" t="s">
        <v>303</v>
      </c>
      <c r="D127" s="5"/>
      <c r="E127" s="5"/>
      <c r="F127" s="5"/>
      <c r="G127" s="5"/>
      <c r="H127" s="5"/>
      <c r="I127" s="5"/>
      <c r="J127" s="7"/>
      <c r="K127" s="5"/>
      <c r="L127" s="6"/>
      <c r="M127" s="6"/>
      <c r="N127" s="6"/>
      <c r="O127" s="6"/>
      <c r="P127" s="6"/>
      <c r="Q127" s="6"/>
    </row>
    <row r="129" spans="3:27" s="3" customFormat="1" ht="26.25" customHeight="1" x14ac:dyDescent="0.25">
      <c r="C129" s="373"/>
      <c r="D129" s="323" t="s">
        <v>2</v>
      </c>
      <c r="E129" s="332" t="s">
        <v>115</v>
      </c>
      <c r="F129" s="333"/>
      <c r="G129" s="321" t="s">
        <v>116</v>
      </c>
      <c r="H129" s="321"/>
      <c r="I129" s="321" t="s">
        <v>117</v>
      </c>
      <c r="J129" s="321"/>
      <c r="K129" s="321" t="s">
        <v>118</v>
      </c>
      <c r="L129" s="321"/>
      <c r="M129" s="321" t="s">
        <v>119</v>
      </c>
      <c r="N129" s="321"/>
      <c r="O129" s="321" t="s">
        <v>120</v>
      </c>
      <c r="P129" s="321"/>
      <c r="Q129" s="321" t="s">
        <v>121</v>
      </c>
      <c r="R129" s="321"/>
      <c r="S129" s="321" t="s">
        <v>122</v>
      </c>
      <c r="T129" s="321"/>
      <c r="U129" s="321" t="s">
        <v>123</v>
      </c>
      <c r="V129" s="321"/>
    </row>
    <row r="130" spans="3:27" s="3" customFormat="1" ht="18.75" customHeight="1" thickBot="1" x14ac:dyDescent="0.3">
      <c r="C130" s="374"/>
      <c r="D130" s="325"/>
      <c r="E130" s="35" t="s">
        <v>2</v>
      </c>
      <c r="F130" s="35" t="s">
        <v>13</v>
      </c>
      <c r="G130" s="35" t="s">
        <v>2</v>
      </c>
      <c r="H130" s="35" t="s">
        <v>13</v>
      </c>
      <c r="I130" s="35" t="s">
        <v>2</v>
      </c>
      <c r="J130" s="35" t="s">
        <v>13</v>
      </c>
      <c r="K130" s="35" t="s">
        <v>2</v>
      </c>
      <c r="L130" s="35" t="s">
        <v>13</v>
      </c>
      <c r="M130" s="35" t="s">
        <v>2</v>
      </c>
      <c r="N130" s="35" t="s">
        <v>13</v>
      </c>
      <c r="O130" s="35" t="s">
        <v>2</v>
      </c>
      <c r="P130" s="35" t="s">
        <v>13</v>
      </c>
      <c r="Q130" s="35" t="s">
        <v>2</v>
      </c>
      <c r="R130" s="35" t="s">
        <v>13</v>
      </c>
      <c r="S130" s="35" t="s">
        <v>2</v>
      </c>
      <c r="T130" s="35" t="s">
        <v>13</v>
      </c>
      <c r="U130" s="35" t="s">
        <v>2</v>
      </c>
      <c r="V130" s="35" t="s">
        <v>13</v>
      </c>
    </row>
    <row r="131" spans="3:27" s="3" customFormat="1" ht="18.75" customHeight="1" thickBot="1" x14ac:dyDescent="0.3">
      <c r="C131" s="19" t="s">
        <v>14</v>
      </c>
      <c r="D131" s="42">
        <f>SUM(E131,G131,I131,K131,M131,O131,Q131,S131,U131)</f>
        <v>3407</v>
      </c>
      <c r="E131" s="42">
        <v>787</v>
      </c>
      <c r="F131" s="21">
        <f t="shared" ref="F131" si="2">E131/$D131</f>
        <v>0.23099501027296743</v>
      </c>
      <c r="G131" s="42">
        <v>361</v>
      </c>
      <c r="H131" s="21">
        <f t="shared" ref="H131" si="3">G131/$D131</f>
        <v>0.10595832110361021</v>
      </c>
      <c r="I131" s="42">
        <v>207</v>
      </c>
      <c r="J131" s="21">
        <f t="shared" ref="J131" si="4">I131/$D131</f>
        <v>6.0757264455532728E-2</v>
      </c>
      <c r="K131" s="42">
        <v>445</v>
      </c>
      <c r="L131" s="21">
        <f t="shared" ref="L131" si="5">K131/$D131</f>
        <v>0.13061344291165247</v>
      </c>
      <c r="M131" s="42">
        <v>38</v>
      </c>
      <c r="N131" s="21">
        <f t="shared" ref="N131" si="6">M131/$D131</f>
        <v>1.1153507484590548E-2</v>
      </c>
      <c r="O131" s="42">
        <v>218</v>
      </c>
      <c r="P131" s="21">
        <f t="shared" ref="P131" si="7">O131/$D131</f>
        <v>6.3985911358966835E-2</v>
      </c>
      <c r="Q131" s="42">
        <v>1319</v>
      </c>
      <c r="R131" s="21">
        <f t="shared" ref="R131" si="8">Q131/$D131</f>
        <v>0.38714411505723512</v>
      </c>
      <c r="S131" s="42">
        <v>16</v>
      </c>
      <c r="T131" s="21">
        <f t="shared" ref="T131" si="9">S131/$D131</f>
        <v>4.696213677722336E-3</v>
      </c>
      <c r="U131" s="42">
        <v>16</v>
      </c>
      <c r="V131" s="23">
        <f t="shared" ref="V131" si="10">U131/$D131</f>
        <v>4.696213677722336E-3</v>
      </c>
    </row>
    <row r="132" spans="3:27" s="13" customFormat="1" ht="6" customHeight="1" x14ac:dyDescent="0.25">
      <c r="C132" s="28"/>
      <c r="D132" s="2"/>
      <c r="E132" s="29"/>
      <c r="F132" s="30"/>
      <c r="G132" s="31"/>
      <c r="H132" s="30"/>
      <c r="I132" s="31"/>
      <c r="J132" s="30"/>
      <c r="K132" s="29"/>
      <c r="L132" s="30"/>
      <c r="M132" s="32"/>
      <c r="N132" s="30"/>
      <c r="O132" s="32"/>
      <c r="P132" s="30"/>
      <c r="Q132" s="2"/>
      <c r="R132" s="30"/>
      <c r="S132" s="2"/>
      <c r="T132" s="30"/>
      <c r="U132" s="2"/>
      <c r="V132" s="30"/>
      <c r="W132" s="2"/>
      <c r="X132" s="2"/>
      <c r="Y132" s="2"/>
    </row>
    <row r="135" spans="3:27" ht="18.75" customHeight="1" x14ac:dyDescent="0.25">
      <c r="C135" s="81" t="s">
        <v>304</v>
      </c>
    </row>
    <row r="137" spans="3:27" ht="18.75" customHeight="1" x14ac:dyDescent="0.25">
      <c r="C137" s="339"/>
      <c r="D137" s="340" t="s">
        <v>78</v>
      </c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59"/>
    </row>
    <row r="138" spans="3:27" s="3" customFormat="1" ht="24.75" customHeight="1" thickBot="1" x14ac:dyDescent="0.3">
      <c r="C138" s="339"/>
      <c r="D138" s="37" t="s">
        <v>2</v>
      </c>
      <c r="E138" s="37" t="s">
        <v>195</v>
      </c>
      <c r="F138" s="37" t="s">
        <v>79</v>
      </c>
      <c r="G138" s="37" t="s">
        <v>80</v>
      </c>
      <c r="H138" s="37" t="s">
        <v>81</v>
      </c>
      <c r="I138" s="37" t="s">
        <v>82</v>
      </c>
      <c r="J138" s="37" t="s">
        <v>83</v>
      </c>
      <c r="K138" s="37" t="s">
        <v>84</v>
      </c>
      <c r="L138" s="37" t="s">
        <v>85</v>
      </c>
      <c r="M138" s="37" t="s">
        <v>86</v>
      </c>
      <c r="N138" s="37" t="s">
        <v>87</v>
      </c>
      <c r="O138" s="37" t="s">
        <v>88</v>
      </c>
      <c r="P138" s="37" t="s">
        <v>89</v>
      </c>
      <c r="Q138" s="37" t="s">
        <v>90</v>
      </c>
      <c r="R138" s="37" t="s">
        <v>91</v>
      </c>
    </row>
    <row r="139" spans="3:27" s="3" customFormat="1" ht="18.75" customHeight="1" thickBot="1" x14ac:dyDescent="0.3">
      <c r="C139" s="19" t="s">
        <v>14</v>
      </c>
      <c r="D139" s="20">
        <v>1778</v>
      </c>
      <c r="E139" s="21">
        <v>1.1248593925759281E-3</v>
      </c>
      <c r="F139" s="21">
        <v>6.7491563554555678E-3</v>
      </c>
      <c r="G139" s="21">
        <v>0</v>
      </c>
      <c r="H139" s="21">
        <v>3.3745781777277839E-3</v>
      </c>
      <c r="I139" s="21">
        <v>4.4431946006749157E-2</v>
      </c>
      <c r="J139" s="21">
        <v>2.8121484814398199E-3</v>
      </c>
      <c r="K139" s="21">
        <v>1.5185601799775027E-2</v>
      </c>
      <c r="L139" s="21">
        <v>1.3498312710911136E-2</v>
      </c>
      <c r="M139" s="21">
        <v>6.8053993250843645E-2</v>
      </c>
      <c r="N139" s="21">
        <v>4.2182227221597299E-2</v>
      </c>
      <c r="O139" s="21">
        <v>1.3498312710911136E-2</v>
      </c>
      <c r="P139" s="21">
        <v>5.6242969628796397E-3</v>
      </c>
      <c r="Q139" s="21">
        <v>1.687289088863892E-3</v>
      </c>
      <c r="R139" s="23">
        <v>1.1248593925759281E-3</v>
      </c>
    </row>
    <row r="140" spans="3:27" s="13" customFormat="1" ht="6" customHeight="1" x14ac:dyDescent="0.25">
      <c r="C140" s="28"/>
      <c r="D140" s="29"/>
      <c r="E140" s="31"/>
      <c r="F140" s="30"/>
      <c r="G140" s="31"/>
      <c r="H140" s="30"/>
      <c r="I140" s="31"/>
      <c r="J140" s="30"/>
      <c r="K140" s="29"/>
      <c r="L140" s="32"/>
      <c r="M140" s="32"/>
      <c r="N140" s="32"/>
      <c r="O140" s="32"/>
      <c r="P140" s="3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3" spans="3:27" ht="18.75" customHeight="1" x14ac:dyDescent="0.25">
      <c r="C143" s="339"/>
      <c r="D143" s="340" t="s">
        <v>78</v>
      </c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6"/>
    </row>
    <row r="144" spans="3:27" s="3" customFormat="1" ht="25.5" customHeight="1" thickBot="1" x14ac:dyDescent="0.3">
      <c r="C144" s="339"/>
      <c r="D144" s="37" t="s">
        <v>92</v>
      </c>
      <c r="E144" s="37" t="s">
        <v>93</v>
      </c>
      <c r="F144" s="37" t="s">
        <v>94</v>
      </c>
      <c r="G144" s="37" t="s">
        <v>95</v>
      </c>
      <c r="H144" s="37" t="s">
        <v>96</v>
      </c>
      <c r="I144" s="37" t="s">
        <v>97</v>
      </c>
      <c r="J144" s="37" t="s">
        <v>98</v>
      </c>
      <c r="K144" s="37" t="s">
        <v>99</v>
      </c>
      <c r="L144" s="37" t="s">
        <v>100</v>
      </c>
      <c r="M144" s="37" t="s">
        <v>101</v>
      </c>
      <c r="N144" s="37" t="s">
        <v>102</v>
      </c>
      <c r="O144" s="37" t="s">
        <v>103</v>
      </c>
      <c r="P144" s="37" t="s">
        <v>40</v>
      </c>
      <c r="Q144" s="8"/>
    </row>
    <row r="145" spans="3:32" s="3" customFormat="1" ht="18.75" customHeight="1" thickBot="1" x14ac:dyDescent="0.3">
      <c r="C145" s="19" t="s">
        <v>14</v>
      </c>
      <c r="D145" s="21">
        <v>3.3745781777277839E-3</v>
      </c>
      <c r="E145" s="21">
        <v>0.20416197975253092</v>
      </c>
      <c r="F145" s="21">
        <v>4.2182227221597299E-2</v>
      </c>
      <c r="G145" s="21">
        <v>3.937007874015748E-3</v>
      </c>
      <c r="H145" s="21">
        <v>4.8931383577052866E-2</v>
      </c>
      <c r="I145" s="21">
        <v>0.13667041619797526</v>
      </c>
      <c r="J145" s="21">
        <v>6.7491563554555678E-3</v>
      </c>
      <c r="K145" s="21">
        <v>2.4746906636670417E-2</v>
      </c>
      <c r="L145" s="21">
        <v>0.1203599550056243</v>
      </c>
      <c r="M145" s="21">
        <v>3.6557930258717661E-2</v>
      </c>
      <c r="N145" s="21">
        <v>0.10067491563554555</v>
      </c>
      <c r="O145" s="21">
        <v>4.5556805399325086E-2</v>
      </c>
      <c r="P145" s="23">
        <v>6.7491563554555678E-3</v>
      </c>
    </row>
    <row r="146" spans="3:32" s="13" customFormat="1" ht="6" customHeight="1" x14ac:dyDescent="0.25">
      <c r="C146" s="28"/>
      <c r="D146" s="29"/>
      <c r="E146" s="30"/>
      <c r="F146" s="31"/>
      <c r="G146" s="30"/>
      <c r="H146" s="31"/>
      <c r="I146" s="30"/>
      <c r="J146" s="29"/>
      <c r="K146" s="32"/>
      <c r="L146" s="32"/>
      <c r="M146" s="32"/>
      <c r="N146" s="32"/>
      <c r="O146" s="3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9" spans="3:32" ht="18.75" customHeight="1" x14ac:dyDescent="0.45">
      <c r="C149" s="88" t="s">
        <v>257</v>
      </c>
      <c r="D149" s="82"/>
      <c r="E149" s="82"/>
      <c r="F149" s="80"/>
      <c r="G149" s="80"/>
      <c r="H149" s="10"/>
    </row>
    <row r="152" spans="3:32" ht="19.5" customHeight="1" x14ac:dyDescent="0.25">
      <c r="C152" s="373"/>
      <c r="D152" s="329" t="s">
        <v>68</v>
      </c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1"/>
    </row>
    <row r="153" spans="3:32" ht="18.75" customHeight="1" x14ac:dyDescent="0.25">
      <c r="C153" s="375"/>
      <c r="D153" s="332" t="s">
        <v>69</v>
      </c>
      <c r="E153" s="335"/>
      <c r="F153" s="335"/>
      <c r="G153" s="333"/>
      <c r="H153" s="332" t="s">
        <v>70</v>
      </c>
      <c r="I153" s="335"/>
      <c r="J153" s="335"/>
      <c r="K153" s="333"/>
      <c r="L153" s="332" t="s">
        <v>71</v>
      </c>
      <c r="M153" s="335"/>
      <c r="N153" s="335"/>
      <c r="O153" s="333"/>
      <c r="P153" s="332" t="s">
        <v>72</v>
      </c>
      <c r="Q153" s="335"/>
      <c r="R153" s="335"/>
      <c r="S153" s="333"/>
    </row>
    <row r="154" spans="3:32" s="3" customFormat="1" ht="18.75" customHeight="1" thickBot="1" x14ac:dyDescent="0.3">
      <c r="C154" s="374"/>
      <c r="D154" s="26" t="s">
        <v>2</v>
      </c>
      <c r="E154" s="36" t="s">
        <v>195</v>
      </c>
      <c r="F154" s="33" t="s">
        <v>76</v>
      </c>
      <c r="G154" s="26" t="s">
        <v>77</v>
      </c>
      <c r="H154" s="26" t="s">
        <v>2</v>
      </c>
      <c r="I154" s="36" t="s">
        <v>195</v>
      </c>
      <c r="J154" s="33" t="s">
        <v>76</v>
      </c>
      <c r="K154" s="26" t="s">
        <v>77</v>
      </c>
      <c r="L154" s="26" t="s">
        <v>2</v>
      </c>
      <c r="M154" s="36" t="s">
        <v>195</v>
      </c>
      <c r="N154" s="33" t="s">
        <v>76</v>
      </c>
      <c r="O154" s="26" t="s">
        <v>77</v>
      </c>
      <c r="P154" s="26" t="s">
        <v>2</v>
      </c>
      <c r="Q154" s="36" t="s">
        <v>195</v>
      </c>
      <c r="R154" s="33" t="s">
        <v>76</v>
      </c>
      <c r="S154" s="26" t="s">
        <v>77</v>
      </c>
    </row>
    <row r="155" spans="3:32" s="3" customFormat="1" ht="18.75" customHeight="1" thickBot="1" x14ac:dyDescent="0.3">
      <c r="C155" s="19" t="s">
        <v>14</v>
      </c>
      <c r="D155" s="20">
        <v>1587</v>
      </c>
      <c r="E155" s="20">
        <v>0</v>
      </c>
      <c r="F155" s="38">
        <v>4.677378701953371</v>
      </c>
      <c r="G155" s="38">
        <v>1.6748299673537332</v>
      </c>
      <c r="H155" s="20">
        <v>1586</v>
      </c>
      <c r="I155" s="20">
        <v>1</v>
      </c>
      <c r="J155" s="38">
        <v>4.677378701953371</v>
      </c>
      <c r="K155" s="38">
        <v>1.8134775478865495</v>
      </c>
      <c r="L155" s="20">
        <v>1587</v>
      </c>
      <c r="M155" s="20">
        <v>0</v>
      </c>
      <c r="N155" s="38">
        <v>3.7082545683679897</v>
      </c>
      <c r="O155" s="38">
        <v>1.9666067628324038</v>
      </c>
      <c r="P155" s="20">
        <v>1587</v>
      </c>
      <c r="Q155" s="20">
        <v>0</v>
      </c>
      <c r="R155" s="38">
        <v>4.9804662885948332</v>
      </c>
      <c r="S155" s="38">
        <v>1.6351271791967186</v>
      </c>
    </row>
    <row r="156" spans="3:32" s="13" customFormat="1" ht="6" customHeight="1" x14ac:dyDescent="0.25">
      <c r="C156" s="28"/>
      <c r="D156" s="29"/>
      <c r="E156" s="29"/>
      <c r="F156" s="30"/>
      <c r="G156" s="31"/>
      <c r="H156" s="30"/>
      <c r="I156" s="29"/>
      <c r="J156" s="31"/>
      <c r="K156" s="30"/>
      <c r="L156" s="29"/>
      <c r="M156" s="29"/>
      <c r="N156" s="32"/>
      <c r="O156" s="32"/>
      <c r="P156" s="32"/>
      <c r="Q156" s="29"/>
      <c r="R156" s="32"/>
      <c r="S156" s="32"/>
    </row>
    <row r="157" spans="3:32" s="48" customFormat="1" ht="18.75" customHeight="1" x14ac:dyDescent="0.25">
      <c r="C157" s="45"/>
      <c r="D157" s="46"/>
      <c r="E157" s="46"/>
      <c r="F157" s="47"/>
      <c r="G157" s="47"/>
      <c r="H157" s="46"/>
      <c r="I157" s="47"/>
      <c r="J157" s="47"/>
      <c r="K157" s="46"/>
      <c r="L157" s="47"/>
      <c r="M157" s="47"/>
      <c r="N157" s="46"/>
      <c r="O157" s="47"/>
      <c r="P157" s="47"/>
      <c r="Q157" s="46"/>
      <c r="R157" s="47"/>
      <c r="S157" s="47"/>
      <c r="T157" s="46"/>
      <c r="U157" s="47"/>
      <c r="V157" s="47"/>
      <c r="W157" s="46"/>
      <c r="X157" s="47"/>
      <c r="Y157" s="47"/>
      <c r="Z157" s="46"/>
      <c r="AA157" s="47"/>
      <c r="AB157" s="47"/>
    </row>
    <row r="158" spans="3:32" s="48" customFormat="1" ht="18.75" customHeight="1" x14ac:dyDescent="0.25">
      <c r="C158" s="45"/>
      <c r="D158" s="46"/>
      <c r="E158" s="46"/>
      <c r="F158" s="47"/>
      <c r="G158" s="47"/>
      <c r="H158" s="46"/>
      <c r="I158" s="47"/>
      <c r="J158" s="47"/>
      <c r="K158" s="46"/>
      <c r="L158" s="47"/>
      <c r="M158" s="47"/>
      <c r="N158" s="46"/>
      <c r="O158" s="47"/>
      <c r="P158" s="47"/>
      <c r="Q158" s="46"/>
      <c r="R158" s="47"/>
      <c r="S158" s="47"/>
      <c r="T158" s="46"/>
      <c r="U158" s="47"/>
      <c r="V158" s="47"/>
      <c r="W158" s="46"/>
      <c r="X158" s="47"/>
      <c r="Y158" s="47"/>
      <c r="Z158" s="46"/>
      <c r="AA158" s="47"/>
      <c r="AB158" s="47"/>
    </row>
    <row r="159" spans="3:32" s="3" customFormat="1" ht="18.75" customHeight="1" x14ac:dyDescent="0.25">
      <c r="C159" s="373"/>
      <c r="D159" s="360" t="s">
        <v>68</v>
      </c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2"/>
    </row>
    <row r="160" spans="3:32" s="3" customFormat="1" ht="18.75" customHeight="1" x14ac:dyDescent="0.25">
      <c r="C160" s="375"/>
      <c r="D160" s="332" t="s">
        <v>194</v>
      </c>
      <c r="E160" s="335"/>
      <c r="F160" s="335"/>
      <c r="G160" s="333"/>
      <c r="H160" s="332" t="s">
        <v>73</v>
      </c>
      <c r="I160" s="335"/>
      <c r="J160" s="335"/>
      <c r="K160" s="333"/>
      <c r="L160" s="332" t="s">
        <v>74</v>
      </c>
      <c r="M160" s="335"/>
      <c r="N160" s="335"/>
      <c r="O160" s="333"/>
      <c r="P160" s="332" t="s">
        <v>75</v>
      </c>
      <c r="Q160" s="335"/>
      <c r="R160" s="335"/>
      <c r="S160" s="333"/>
      <c r="T160" s="44"/>
      <c r="U160" s="43"/>
      <c r="V160" s="44"/>
      <c r="W160" s="44"/>
      <c r="X160" s="43"/>
      <c r="Y160" s="44"/>
      <c r="Z160" s="44"/>
      <c r="AA160" s="43"/>
      <c r="AB160" s="44"/>
      <c r="AC160" s="44"/>
      <c r="AD160" s="43"/>
      <c r="AE160" s="44"/>
      <c r="AF160" s="44"/>
    </row>
    <row r="161" spans="3:32" s="3" customFormat="1" ht="18.75" customHeight="1" thickBot="1" x14ac:dyDescent="0.3">
      <c r="C161" s="374"/>
      <c r="D161" s="36" t="s">
        <v>2</v>
      </c>
      <c r="E161" s="36" t="s">
        <v>195</v>
      </c>
      <c r="F161" s="35" t="s">
        <v>76</v>
      </c>
      <c r="G161" s="36" t="s">
        <v>77</v>
      </c>
      <c r="H161" s="36" t="s">
        <v>2</v>
      </c>
      <c r="I161" s="36" t="s">
        <v>195</v>
      </c>
      <c r="J161" s="35" t="s">
        <v>76</v>
      </c>
      <c r="K161" s="36" t="s">
        <v>77</v>
      </c>
      <c r="L161" s="36" t="s">
        <v>2</v>
      </c>
      <c r="M161" s="36" t="s">
        <v>195</v>
      </c>
      <c r="N161" s="35" t="s">
        <v>76</v>
      </c>
      <c r="O161" s="36" t="s">
        <v>77</v>
      </c>
      <c r="P161" s="36" t="s">
        <v>2</v>
      </c>
      <c r="Q161" s="36" t="s">
        <v>195</v>
      </c>
      <c r="R161" s="35" t="s">
        <v>76</v>
      </c>
      <c r="S161" s="36" t="s">
        <v>77</v>
      </c>
      <c r="T161" s="44"/>
      <c r="U161" s="43"/>
      <c r="V161" s="44"/>
      <c r="W161" s="44"/>
      <c r="X161" s="43"/>
      <c r="Y161" s="44"/>
      <c r="Z161" s="44"/>
      <c r="AA161" s="43"/>
      <c r="AB161" s="44"/>
      <c r="AC161" s="44"/>
      <c r="AD161" s="43"/>
      <c r="AE161" s="44"/>
      <c r="AF161" s="44"/>
    </row>
    <row r="162" spans="3:32" s="3" customFormat="1" ht="18.75" customHeight="1" thickBot="1" x14ac:dyDescent="0.3">
      <c r="C162" s="19" t="s">
        <v>14</v>
      </c>
      <c r="D162" s="20">
        <v>1583</v>
      </c>
      <c r="E162" s="20">
        <v>4</v>
      </c>
      <c r="F162" s="38">
        <v>5.3746051800379027</v>
      </c>
      <c r="G162" s="38">
        <v>1.2762686428398551</v>
      </c>
      <c r="H162" s="20">
        <v>1583</v>
      </c>
      <c r="I162" s="20">
        <v>4</v>
      </c>
      <c r="J162" s="38">
        <v>4.9879974731522427</v>
      </c>
      <c r="K162" s="38">
        <v>1.5265811582956854</v>
      </c>
      <c r="L162" s="20">
        <v>1585</v>
      </c>
      <c r="M162" s="20">
        <v>2</v>
      </c>
      <c r="N162" s="38">
        <v>5.2454258675078869</v>
      </c>
      <c r="O162" s="38">
        <v>1.439330594956532</v>
      </c>
      <c r="P162" s="20">
        <v>1586</v>
      </c>
      <c r="Q162" s="20">
        <v>1</v>
      </c>
      <c r="R162" s="38">
        <v>4.9842370744010092</v>
      </c>
      <c r="S162" s="38">
        <v>1.3667077868641471</v>
      </c>
      <c r="T162" s="44"/>
      <c r="U162" s="43"/>
      <c r="V162" s="44"/>
      <c r="W162" s="44"/>
      <c r="X162" s="43"/>
      <c r="Y162" s="44"/>
      <c r="Z162" s="44"/>
      <c r="AA162" s="43"/>
      <c r="AB162" s="44"/>
      <c r="AC162" s="44"/>
      <c r="AD162" s="43"/>
      <c r="AE162" s="44"/>
      <c r="AF162" s="44"/>
    </row>
    <row r="163" spans="3:32" s="13" customFormat="1" ht="6" customHeight="1" x14ac:dyDescent="0.25">
      <c r="C163" s="28"/>
      <c r="D163" s="29"/>
      <c r="E163" s="29"/>
      <c r="F163" s="30"/>
      <c r="G163" s="31"/>
      <c r="H163" s="30"/>
      <c r="I163" s="29"/>
      <c r="J163" s="31"/>
      <c r="K163" s="30"/>
      <c r="L163" s="29"/>
      <c r="M163" s="29"/>
      <c r="N163" s="32"/>
      <c r="O163" s="32"/>
      <c r="P163" s="32"/>
      <c r="Q163" s="29"/>
      <c r="R163" s="32"/>
      <c r="S163" s="32"/>
    </row>
    <row r="166" spans="3:32" ht="18.75" customHeight="1" x14ac:dyDescent="0.45">
      <c r="C166" s="88" t="s">
        <v>305</v>
      </c>
      <c r="D166" s="82"/>
      <c r="E166" s="82"/>
      <c r="F166" s="80"/>
      <c r="G166" s="80"/>
      <c r="H166" s="10"/>
    </row>
    <row r="168" spans="3:32" ht="18.75" customHeight="1" x14ac:dyDescent="0.25">
      <c r="C168" s="50"/>
    </row>
    <row r="169" spans="3:32" ht="18.75" customHeight="1" x14ac:dyDescent="0.25">
      <c r="C169" s="334"/>
      <c r="D169" s="329" t="s">
        <v>124</v>
      </c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1"/>
    </row>
    <row r="170" spans="3:32" ht="18.75" customHeight="1" x14ac:dyDescent="0.25">
      <c r="C170" s="334"/>
      <c r="D170" s="329" t="s">
        <v>125</v>
      </c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1"/>
    </row>
    <row r="171" spans="3:32" s="3" customFormat="1" ht="19.5" customHeight="1" x14ac:dyDescent="0.25">
      <c r="C171" s="334"/>
      <c r="D171" s="315" t="s">
        <v>197</v>
      </c>
      <c r="E171" s="316"/>
      <c r="F171" s="316"/>
      <c r="G171" s="317"/>
      <c r="H171" s="315" t="s">
        <v>198</v>
      </c>
      <c r="I171" s="316"/>
      <c r="J171" s="316"/>
      <c r="K171" s="317"/>
      <c r="L171" s="315" t="s">
        <v>199</v>
      </c>
      <c r="M171" s="316"/>
      <c r="N171" s="316"/>
      <c r="O171" s="317"/>
      <c r="P171" s="315" t="s">
        <v>200</v>
      </c>
      <c r="Q171" s="316"/>
      <c r="R171" s="316"/>
      <c r="S171" s="317"/>
      <c r="T171" s="315" t="s">
        <v>201</v>
      </c>
      <c r="U171" s="316"/>
      <c r="V171" s="316"/>
      <c r="W171" s="317"/>
    </row>
    <row r="172" spans="3:32" s="3" customFormat="1" ht="18.75" customHeight="1" thickBot="1" x14ac:dyDescent="0.3">
      <c r="C172" s="334"/>
      <c r="D172" s="36" t="s">
        <v>2</v>
      </c>
      <c r="E172" s="36" t="s">
        <v>195</v>
      </c>
      <c r="F172" s="35" t="s">
        <v>76</v>
      </c>
      <c r="G172" s="36" t="s">
        <v>77</v>
      </c>
      <c r="H172" s="36" t="s">
        <v>2</v>
      </c>
      <c r="I172" s="36" t="s">
        <v>195</v>
      </c>
      <c r="J172" s="35" t="s">
        <v>76</v>
      </c>
      <c r="K172" s="36" t="s">
        <v>77</v>
      </c>
      <c r="L172" s="36" t="s">
        <v>2</v>
      </c>
      <c r="M172" s="36" t="s">
        <v>195</v>
      </c>
      <c r="N172" s="35" t="s">
        <v>76</v>
      </c>
      <c r="O172" s="36" t="s">
        <v>77</v>
      </c>
      <c r="P172" s="36" t="s">
        <v>2</v>
      </c>
      <c r="Q172" s="36" t="s">
        <v>195</v>
      </c>
      <c r="R172" s="35" t="s">
        <v>76</v>
      </c>
      <c r="S172" s="36" t="s">
        <v>77</v>
      </c>
      <c r="T172" s="36" t="s">
        <v>2</v>
      </c>
      <c r="U172" s="36" t="s">
        <v>195</v>
      </c>
      <c r="V172" s="35" t="s">
        <v>76</v>
      </c>
      <c r="W172" s="36" t="s">
        <v>77</v>
      </c>
    </row>
    <row r="173" spans="3:32" s="3" customFormat="1" ht="18.75" customHeight="1" thickBot="1" x14ac:dyDescent="0.3">
      <c r="C173" s="19" t="s">
        <v>14</v>
      </c>
      <c r="D173" s="108">
        <v>1515</v>
      </c>
      <c r="E173" s="108">
        <v>2</v>
      </c>
      <c r="F173" s="109">
        <v>5.4970297029702975</v>
      </c>
      <c r="G173" s="109">
        <v>1.1133679828787288</v>
      </c>
      <c r="H173" s="108">
        <v>1514</v>
      </c>
      <c r="I173" s="108">
        <v>3</v>
      </c>
      <c r="J173" s="109">
        <v>4.6486129458388374</v>
      </c>
      <c r="K173" s="109">
        <v>1.6217014082415333</v>
      </c>
      <c r="L173" s="108">
        <v>1515</v>
      </c>
      <c r="M173" s="108">
        <v>2</v>
      </c>
      <c r="N173" s="109">
        <v>4.5300330033003302</v>
      </c>
      <c r="O173" s="109">
        <v>1.4582212383200313</v>
      </c>
      <c r="P173" s="108">
        <v>1515</v>
      </c>
      <c r="Q173" s="108">
        <v>2</v>
      </c>
      <c r="R173" s="109">
        <v>4.6145214521452145</v>
      </c>
      <c r="S173" s="109">
        <v>1.498321502108559</v>
      </c>
      <c r="T173" s="108">
        <v>1564</v>
      </c>
      <c r="U173" s="108">
        <v>1</v>
      </c>
      <c r="V173" s="109">
        <v>5.2647058823529411</v>
      </c>
      <c r="W173" s="110">
        <v>1.0898272605808845</v>
      </c>
    </row>
    <row r="174" spans="3:32" s="13" customFormat="1" ht="6" customHeight="1" x14ac:dyDescent="0.25">
      <c r="C174" s="28"/>
      <c r="D174" s="29"/>
      <c r="E174" s="29"/>
      <c r="F174" s="30"/>
      <c r="G174" s="31"/>
      <c r="H174" s="30"/>
      <c r="I174" s="30"/>
      <c r="J174" s="31"/>
      <c r="K174" s="30"/>
      <c r="L174" s="29"/>
      <c r="M174" s="49"/>
      <c r="N174" s="32"/>
      <c r="O174" s="32"/>
      <c r="P174" s="32"/>
      <c r="Q174" s="32"/>
      <c r="R174" s="32"/>
      <c r="S174" s="3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3:32" ht="18.75" customHeight="1" x14ac:dyDescent="0.25">
      <c r="D175" s="5"/>
      <c r="E175" s="7"/>
      <c r="F175" s="5"/>
      <c r="G175" s="7"/>
      <c r="H175" s="5"/>
      <c r="I175" s="7"/>
      <c r="J175" s="5"/>
      <c r="K175" s="7"/>
      <c r="L175" s="5"/>
      <c r="M175" s="7"/>
      <c r="T175" s="61"/>
    </row>
    <row r="176" spans="3:32" ht="18.75" customHeight="1" x14ac:dyDescent="0.25">
      <c r="D176" s="5"/>
      <c r="E176" s="7"/>
      <c r="F176" s="5"/>
    </row>
    <row r="177" spans="3:33" ht="18.75" customHeight="1" x14ac:dyDescent="0.45">
      <c r="C177" s="88" t="s">
        <v>306</v>
      </c>
      <c r="D177" s="82"/>
      <c r="E177" s="82"/>
      <c r="F177" s="80"/>
    </row>
    <row r="178" spans="3:33" ht="18.75" customHeight="1" x14ac:dyDescent="0.45">
      <c r="C178" s="88"/>
      <c r="D178" s="82"/>
      <c r="E178" s="82"/>
      <c r="F178" s="80"/>
    </row>
    <row r="179" spans="3:33" ht="18.75" customHeight="1" x14ac:dyDescent="0.45">
      <c r="C179" s="88"/>
      <c r="D179" s="82"/>
      <c r="E179" s="82"/>
      <c r="F179" s="80"/>
    </row>
    <row r="180" spans="3:33" ht="18.75" customHeight="1" x14ac:dyDescent="0.45">
      <c r="C180" s="81" t="s">
        <v>258</v>
      </c>
      <c r="D180" s="82"/>
      <c r="E180" s="82"/>
      <c r="F180" s="80"/>
      <c r="G180" s="10"/>
      <c r="H180" s="10"/>
    </row>
    <row r="182" spans="3:33" ht="18.75" customHeight="1" x14ac:dyDescent="0.25">
      <c r="C182" s="91"/>
      <c r="D182" s="312" t="s">
        <v>126</v>
      </c>
      <c r="E182" s="313"/>
      <c r="F182" s="313"/>
      <c r="G182" s="313"/>
      <c r="H182" s="313"/>
      <c r="I182" s="313"/>
      <c r="J182" s="313"/>
      <c r="K182" s="313"/>
      <c r="L182" s="313"/>
      <c r="M182" s="313"/>
      <c r="N182" s="313"/>
      <c r="O182" s="314"/>
    </row>
    <row r="183" spans="3:33" ht="18.75" customHeight="1" x14ac:dyDescent="0.25">
      <c r="C183" s="92"/>
      <c r="D183" s="315" t="s">
        <v>127</v>
      </c>
      <c r="E183" s="316"/>
      <c r="F183" s="316"/>
      <c r="G183" s="316"/>
      <c r="H183" s="316"/>
      <c r="I183" s="316"/>
      <c r="J183" s="317"/>
      <c r="K183" s="315" t="s">
        <v>128</v>
      </c>
      <c r="L183" s="316"/>
      <c r="M183" s="316"/>
      <c r="N183" s="316"/>
      <c r="O183" s="317"/>
    </row>
    <row r="184" spans="3:33" s="3" customFormat="1" ht="18.75" customHeight="1" x14ac:dyDescent="0.25">
      <c r="C184" s="92"/>
      <c r="D184" s="323" t="s">
        <v>2</v>
      </c>
      <c r="E184" s="315" t="s">
        <v>129</v>
      </c>
      <c r="F184" s="317"/>
      <c r="G184" s="323" t="s">
        <v>2</v>
      </c>
      <c r="H184" s="323" t="s">
        <v>195</v>
      </c>
      <c r="I184" s="315" t="s">
        <v>130</v>
      </c>
      <c r="J184" s="317"/>
      <c r="K184" s="323" t="s">
        <v>2</v>
      </c>
      <c r="L184" s="315" t="s">
        <v>129</v>
      </c>
      <c r="M184" s="317"/>
      <c r="N184" s="315" t="s">
        <v>130</v>
      </c>
      <c r="O184" s="363"/>
    </row>
    <row r="185" spans="3:33" s="3" customFormat="1" ht="18.75" customHeight="1" thickBot="1" x14ac:dyDescent="0.3">
      <c r="C185" s="93"/>
      <c r="D185" s="325"/>
      <c r="E185" s="35" t="s">
        <v>76</v>
      </c>
      <c r="F185" s="35" t="s">
        <v>77</v>
      </c>
      <c r="G185" s="325"/>
      <c r="H185" s="325"/>
      <c r="I185" s="35" t="s">
        <v>76</v>
      </c>
      <c r="J185" s="35" t="s">
        <v>77</v>
      </c>
      <c r="K185" s="325"/>
      <c r="L185" s="35" t="s">
        <v>76</v>
      </c>
      <c r="M185" s="35" t="s">
        <v>77</v>
      </c>
      <c r="N185" s="35" t="s">
        <v>76</v>
      </c>
      <c r="O185" s="35" t="s">
        <v>77</v>
      </c>
    </row>
    <row r="186" spans="3:33" s="3" customFormat="1" ht="18.75" customHeight="1" thickBot="1" x14ac:dyDescent="0.3">
      <c r="C186" s="19" t="s">
        <v>14</v>
      </c>
      <c r="D186" s="20">
        <v>1778</v>
      </c>
      <c r="E186" s="51">
        <v>5.1799775028121484</v>
      </c>
      <c r="F186" s="51">
        <v>1.1461582717765451</v>
      </c>
      <c r="G186" s="20">
        <v>1777</v>
      </c>
      <c r="H186" s="20">
        <v>1</v>
      </c>
      <c r="I186" s="51">
        <v>4.267867191896455</v>
      </c>
      <c r="J186" s="51">
        <v>1.5228173008938486</v>
      </c>
      <c r="K186" s="20">
        <v>1778</v>
      </c>
      <c r="L186" s="51">
        <v>4.0359955005624295</v>
      </c>
      <c r="M186" s="51">
        <v>1.5118545424572696</v>
      </c>
      <c r="N186" s="51">
        <v>4.140607424071991</v>
      </c>
      <c r="O186" s="52">
        <v>1.7008799973321769</v>
      </c>
    </row>
    <row r="187" spans="3:33" s="13" customFormat="1" ht="6" customHeight="1" x14ac:dyDescent="0.25">
      <c r="C187" s="25"/>
      <c r="D187" s="29"/>
      <c r="E187" s="29"/>
      <c r="F187" s="30"/>
      <c r="G187" s="30"/>
      <c r="H187" s="30"/>
      <c r="I187" s="31"/>
      <c r="J187" s="30"/>
      <c r="K187" s="30"/>
      <c r="L187" s="31"/>
      <c r="M187" s="30"/>
      <c r="N187" s="29"/>
      <c r="O187" s="49"/>
      <c r="P187" s="32"/>
      <c r="Q187" s="32"/>
      <c r="R187" s="32"/>
      <c r="S187" s="32"/>
      <c r="T187" s="32"/>
      <c r="U187" s="3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90" spans="3:33" ht="18.75" customHeight="1" x14ac:dyDescent="0.4">
      <c r="C190" s="81" t="s">
        <v>259</v>
      </c>
      <c r="D190" s="80"/>
      <c r="E190" s="10"/>
      <c r="F190" s="10"/>
      <c r="G190" s="10"/>
      <c r="H190" s="10"/>
      <c r="I190" s="10"/>
    </row>
    <row r="192" spans="3:33" ht="18.75" customHeight="1" x14ac:dyDescent="0.25">
      <c r="C192" s="91"/>
      <c r="D192" s="312" t="s">
        <v>126</v>
      </c>
      <c r="E192" s="313"/>
      <c r="F192" s="313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  <c r="W192" s="314"/>
    </row>
    <row r="193" spans="3:33" ht="18.75" customHeight="1" x14ac:dyDescent="0.25">
      <c r="C193" s="92"/>
      <c r="D193" s="322" t="s">
        <v>131</v>
      </c>
      <c r="E193" s="322"/>
      <c r="F193" s="322"/>
      <c r="G193" s="322"/>
      <c r="H193" s="322"/>
      <c r="I193" s="315" t="s">
        <v>132</v>
      </c>
      <c r="J193" s="316"/>
      <c r="K193" s="316"/>
      <c r="L193" s="316"/>
      <c r="M193" s="316"/>
      <c r="N193" s="316"/>
      <c r="O193" s="317"/>
      <c r="P193" s="315" t="s">
        <v>133</v>
      </c>
      <c r="Q193" s="316"/>
      <c r="R193" s="316"/>
      <c r="S193" s="316"/>
      <c r="T193" s="316"/>
      <c r="U193" s="316"/>
      <c r="V193" s="316"/>
      <c r="W193" s="317"/>
    </row>
    <row r="194" spans="3:33" s="3" customFormat="1" ht="18.75" customHeight="1" x14ac:dyDescent="0.25">
      <c r="C194" s="92"/>
      <c r="D194" s="342" t="s">
        <v>2</v>
      </c>
      <c r="E194" s="315" t="s">
        <v>129</v>
      </c>
      <c r="F194" s="317"/>
      <c r="G194" s="315" t="s">
        <v>130</v>
      </c>
      <c r="H194" s="317"/>
      <c r="I194" s="342" t="s">
        <v>2</v>
      </c>
      <c r="J194" s="342" t="s">
        <v>195</v>
      </c>
      <c r="K194" s="315" t="s">
        <v>129</v>
      </c>
      <c r="L194" s="317"/>
      <c r="M194" s="342" t="s">
        <v>2</v>
      </c>
      <c r="N194" s="315" t="s">
        <v>130</v>
      </c>
      <c r="O194" s="317"/>
      <c r="P194" s="342" t="s">
        <v>2</v>
      </c>
      <c r="Q194" s="342" t="s">
        <v>195</v>
      </c>
      <c r="R194" s="315" t="s">
        <v>129</v>
      </c>
      <c r="S194" s="317"/>
      <c r="T194" s="342" t="s">
        <v>2</v>
      </c>
      <c r="U194" s="342" t="s">
        <v>195</v>
      </c>
      <c r="V194" s="315" t="s">
        <v>130</v>
      </c>
      <c r="W194" s="317"/>
    </row>
    <row r="195" spans="3:33" s="3" customFormat="1" ht="18.75" customHeight="1" thickBot="1" x14ac:dyDescent="0.3">
      <c r="C195" s="93"/>
      <c r="D195" s="343"/>
      <c r="E195" s="36" t="s">
        <v>76</v>
      </c>
      <c r="F195" s="35" t="s">
        <v>77</v>
      </c>
      <c r="G195" s="36" t="s">
        <v>76</v>
      </c>
      <c r="H195" s="35" t="s">
        <v>77</v>
      </c>
      <c r="I195" s="343"/>
      <c r="J195" s="343"/>
      <c r="K195" s="36" t="s">
        <v>76</v>
      </c>
      <c r="L195" s="35" t="s">
        <v>77</v>
      </c>
      <c r="M195" s="343"/>
      <c r="N195" s="36" t="s">
        <v>76</v>
      </c>
      <c r="O195" s="35" t="s">
        <v>77</v>
      </c>
      <c r="P195" s="343"/>
      <c r="Q195" s="343"/>
      <c r="R195" s="36" t="s">
        <v>76</v>
      </c>
      <c r="S195" s="35" t="s">
        <v>77</v>
      </c>
      <c r="T195" s="343"/>
      <c r="U195" s="343"/>
      <c r="V195" s="36" t="s">
        <v>76</v>
      </c>
      <c r="W195" s="35" t="s">
        <v>77</v>
      </c>
    </row>
    <row r="196" spans="3:33" s="3" customFormat="1" ht="18.75" customHeight="1" thickBot="1" x14ac:dyDescent="0.3">
      <c r="C196" s="19" t="s">
        <v>14</v>
      </c>
      <c r="D196" s="20">
        <v>1778</v>
      </c>
      <c r="E196" s="51">
        <v>4.3824521934758156</v>
      </c>
      <c r="F196" s="51">
        <v>1.6977479386744025</v>
      </c>
      <c r="G196" s="51">
        <v>5.5112485939257594</v>
      </c>
      <c r="H196" s="51">
        <v>1.4696852357719978</v>
      </c>
      <c r="I196" s="20">
        <v>1776</v>
      </c>
      <c r="J196" s="20">
        <v>2</v>
      </c>
      <c r="K196" s="51">
        <v>2.0551801801801801</v>
      </c>
      <c r="L196" s="51">
        <v>1.3314383501284874</v>
      </c>
      <c r="M196" s="20">
        <v>1778</v>
      </c>
      <c r="N196" s="51">
        <v>4.4955005624296964</v>
      </c>
      <c r="O196" s="51">
        <v>2.057209894923786</v>
      </c>
      <c r="P196" s="20">
        <v>1777</v>
      </c>
      <c r="Q196" s="20">
        <v>1</v>
      </c>
      <c r="R196" s="51">
        <v>4.2492965672481713</v>
      </c>
      <c r="S196" s="51">
        <v>1.5075936953964906</v>
      </c>
      <c r="T196" s="20">
        <v>1777</v>
      </c>
      <c r="U196" s="20">
        <v>1</v>
      </c>
      <c r="V196" s="51">
        <v>4.907709622960045</v>
      </c>
      <c r="W196" s="52">
        <v>1.4933909163870027</v>
      </c>
    </row>
    <row r="197" spans="3:33" s="13" customFormat="1" ht="6" customHeight="1" x14ac:dyDescent="0.25">
      <c r="C197" s="53"/>
      <c r="D197" s="29"/>
      <c r="E197" s="29"/>
      <c r="F197" s="30"/>
      <c r="G197" s="31"/>
      <c r="H197" s="30"/>
      <c r="I197" s="30"/>
      <c r="J197" s="30"/>
      <c r="K197" s="31"/>
      <c r="L197" s="30"/>
      <c r="M197" s="30"/>
      <c r="N197" s="29"/>
      <c r="O197" s="49"/>
      <c r="P197" s="29"/>
      <c r="Q197" s="29"/>
      <c r="R197" s="32"/>
      <c r="S197" s="32"/>
      <c r="T197" s="29"/>
      <c r="U197" s="29"/>
      <c r="V197" s="32"/>
      <c r="W197" s="32"/>
      <c r="X197" s="32"/>
      <c r="Y197" s="2"/>
      <c r="Z197" s="2"/>
      <c r="AA197" s="2"/>
      <c r="AB197" s="2"/>
      <c r="AC197" s="2"/>
      <c r="AD197" s="2"/>
      <c r="AE197" s="2"/>
      <c r="AF197" s="2"/>
      <c r="AG197" s="2"/>
    </row>
    <row r="200" spans="3:33" ht="18.75" customHeight="1" x14ac:dyDescent="0.45">
      <c r="C200" s="81" t="s">
        <v>260</v>
      </c>
      <c r="D200" s="82"/>
      <c r="E200" s="82"/>
    </row>
    <row r="202" spans="3:33" ht="18.75" customHeight="1" x14ac:dyDescent="0.25">
      <c r="C202" s="94"/>
      <c r="D202" s="312" t="s">
        <v>126</v>
      </c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4"/>
    </row>
    <row r="203" spans="3:33" ht="18.75" customHeight="1" x14ac:dyDescent="0.25">
      <c r="C203" s="95"/>
      <c r="D203" s="315" t="s">
        <v>134</v>
      </c>
      <c r="E203" s="316"/>
      <c r="F203" s="316"/>
      <c r="G203" s="316"/>
      <c r="H203" s="316"/>
      <c r="I203" s="316"/>
      <c r="J203" s="316"/>
      <c r="K203" s="317"/>
      <c r="L203" s="315" t="s">
        <v>135</v>
      </c>
      <c r="M203" s="316"/>
      <c r="N203" s="316"/>
      <c r="O203" s="316"/>
      <c r="P203" s="316"/>
      <c r="Q203" s="316"/>
      <c r="R203" s="317"/>
      <c r="S203" s="315" t="s">
        <v>136</v>
      </c>
      <c r="T203" s="316"/>
      <c r="U203" s="316"/>
      <c r="V203" s="316"/>
      <c r="W203" s="316"/>
      <c r="X203" s="316"/>
      <c r="Y203" s="317"/>
    </row>
    <row r="204" spans="3:33" s="3" customFormat="1" ht="18.75" customHeight="1" x14ac:dyDescent="0.25">
      <c r="C204" s="95"/>
      <c r="D204" s="342" t="s">
        <v>2</v>
      </c>
      <c r="E204" s="342" t="s">
        <v>195</v>
      </c>
      <c r="F204" s="315" t="s">
        <v>129</v>
      </c>
      <c r="G204" s="317"/>
      <c r="H204" s="342" t="s">
        <v>2</v>
      </c>
      <c r="I204" s="342" t="s">
        <v>195</v>
      </c>
      <c r="J204" s="315" t="s">
        <v>130</v>
      </c>
      <c r="K204" s="317"/>
      <c r="L204" s="342" t="s">
        <v>2</v>
      </c>
      <c r="M204" s="342" t="s">
        <v>195</v>
      </c>
      <c r="N204" s="315" t="s">
        <v>129</v>
      </c>
      <c r="O204" s="317"/>
      <c r="P204" s="342" t="s">
        <v>2</v>
      </c>
      <c r="Q204" s="315" t="s">
        <v>130</v>
      </c>
      <c r="R204" s="317"/>
      <c r="S204" s="342" t="s">
        <v>2</v>
      </c>
      <c r="T204" s="315" t="s">
        <v>129</v>
      </c>
      <c r="U204" s="317"/>
      <c r="V204" s="342" t="s">
        <v>2</v>
      </c>
      <c r="W204" s="342" t="s">
        <v>195</v>
      </c>
      <c r="X204" s="315" t="s">
        <v>130</v>
      </c>
      <c r="Y204" s="317"/>
    </row>
    <row r="205" spans="3:33" s="3" customFormat="1" ht="18.75" customHeight="1" thickBot="1" x14ac:dyDescent="0.3">
      <c r="C205" s="96"/>
      <c r="D205" s="343"/>
      <c r="E205" s="343"/>
      <c r="F205" s="36" t="s">
        <v>76</v>
      </c>
      <c r="G205" s="35" t="s">
        <v>77</v>
      </c>
      <c r="H205" s="343"/>
      <c r="I205" s="343"/>
      <c r="J205" s="36" t="s">
        <v>76</v>
      </c>
      <c r="K205" s="35" t="s">
        <v>77</v>
      </c>
      <c r="L205" s="343"/>
      <c r="M205" s="343"/>
      <c r="N205" s="36" t="s">
        <v>76</v>
      </c>
      <c r="O205" s="35" t="s">
        <v>77</v>
      </c>
      <c r="P205" s="343"/>
      <c r="Q205" s="36" t="s">
        <v>76</v>
      </c>
      <c r="R205" s="35" t="s">
        <v>77</v>
      </c>
      <c r="S205" s="343"/>
      <c r="T205" s="36" t="s">
        <v>76</v>
      </c>
      <c r="U205" s="35" t="s">
        <v>77</v>
      </c>
      <c r="V205" s="343"/>
      <c r="W205" s="343"/>
      <c r="X205" s="36" t="s">
        <v>76</v>
      </c>
      <c r="Y205" s="35" t="s">
        <v>77</v>
      </c>
    </row>
    <row r="206" spans="3:33" s="3" customFormat="1" ht="18.75" customHeight="1" thickBot="1" x14ac:dyDescent="0.3">
      <c r="C206" s="19" t="s">
        <v>14</v>
      </c>
      <c r="D206" s="20">
        <v>1777</v>
      </c>
      <c r="E206" s="20">
        <v>1</v>
      </c>
      <c r="F206" s="51">
        <v>4.0208216094541358</v>
      </c>
      <c r="G206" s="51">
        <v>1.5665114453337383</v>
      </c>
      <c r="H206" s="20">
        <v>1776</v>
      </c>
      <c r="I206" s="20">
        <v>2</v>
      </c>
      <c r="J206" s="51">
        <v>5.3530405405405403</v>
      </c>
      <c r="K206" s="51">
        <v>1.4220880464572736</v>
      </c>
      <c r="L206" s="20">
        <v>1777</v>
      </c>
      <c r="M206" s="20">
        <v>1</v>
      </c>
      <c r="N206" s="51">
        <v>3.771525042205965</v>
      </c>
      <c r="O206" s="51">
        <v>1.6438595760646975</v>
      </c>
      <c r="P206" s="20">
        <v>1778</v>
      </c>
      <c r="Q206" s="51">
        <v>5.0545556805399325</v>
      </c>
      <c r="R206" s="51">
        <v>1.4878438393763227</v>
      </c>
      <c r="S206" s="20">
        <v>1778</v>
      </c>
      <c r="T206" s="51">
        <v>3.9004499437570304</v>
      </c>
      <c r="U206" s="51">
        <v>1.5339672451883166</v>
      </c>
      <c r="V206" s="20">
        <v>1777</v>
      </c>
      <c r="W206" s="20">
        <v>1</v>
      </c>
      <c r="X206" s="51">
        <v>4.9425998874507595</v>
      </c>
      <c r="Y206" s="52">
        <v>1.4562201913818786</v>
      </c>
    </row>
    <row r="207" spans="3:33" s="13" customFormat="1" ht="6" customHeight="1" x14ac:dyDescent="0.25">
      <c r="C207" s="53"/>
      <c r="D207" s="29"/>
      <c r="E207" s="29"/>
      <c r="F207" s="29"/>
      <c r="G207" s="30"/>
      <c r="H207" s="29"/>
      <c r="I207" s="29"/>
      <c r="J207" s="31"/>
      <c r="K207" s="30"/>
      <c r="L207" s="30"/>
      <c r="M207" s="30"/>
      <c r="N207" s="31"/>
      <c r="O207" s="30"/>
      <c r="P207" s="30"/>
      <c r="Q207" s="29"/>
      <c r="R207" s="49"/>
      <c r="S207" s="32"/>
      <c r="T207" s="32"/>
      <c r="U207" s="32"/>
      <c r="V207" s="30"/>
      <c r="W207" s="30"/>
      <c r="X207" s="32"/>
      <c r="Y207" s="32"/>
      <c r="Z207" s="2"/>
      <c r="AA207" s="2"/>
      <c r="AB207" s="2"/>
      <c r="AC207" s="2"/>
      <c r="AD207" s="2"/>
      <c r="AE207" s="2"/>
      <c r="AF207" s="2"/>
    </row>
    <row r="209" spans="3:38" ht="18.75" customHeight="1" x14ac:dyDescent="0.25">
      <c r="C209" s="91"/>
      <c r="D209" s="312" t="s">
        <v>126</v>
      </c>
      <c r="E209" s="313"/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4"/>
    </row>
    <row r="210" spans="3:38" ht="18.75" customHeight="1" x14ac:dyDescent="0.25">
      <c r="C210" s="92"/>
      <c r="D210" s="322" t="s">
        <v>137</v>
      </c>
      <c r="E210" s="322"/>
      <c r="F210" s="322"/>
      <c r="G210" s="322"/>
      <c r="H210" s="322"/>
      <c r="I210" s="315" t="s">
        <v>138</v>
      </c>
      <c r="J210" s="316"/>
      <c r="K210" s="316"/>
      <c r="L210" s="316"/>
      <c r="M210" s="316"/>
      <c r="N210" s="316"/>
      <c r="O210" s="316"/>
      <c r="P210" s="317"/>
      <c r="Q210" s="315" t="s">
        <v>139</v>
      </c>
      <c r="R210" s="316"/>
      <c r="S210" s="316"/>
      <c r="T210" s="316"/>
      <c r="U210" s="316"/>
      <c r="V210" s="316"/>
      <c r="W210" s="317"/>
    </row>
    <row r="211" spans="3:38" s="3" customFormat="1" ht="18.75" customHeight="1" x14ac:dyDescent="0.25">
      <c r="C211" s="92"/>
      <c r="D211" s="342" t="s">
        <v>2</v>
      </c>
      <c r="E211" s="315" t="s">
        <v>129</v>
      </c>
      <c r="F211" s="317"/>
      <c r="G211" s="315" t="s">
        <v>130</v>
      </c>
      <c r="H211" s="317"/>
      <c r="I211" s="342" t="s">
        <v>2</v>
      </c>
      <c r="J211" s="342" t="s">
        <v>195</v>
      </c>
      <c r="K211" s="315" t="s">
        <v>129</v>
      </c>
      <c r="L211" s="317"/>
      <c r="M211" s="342" t="s">
        <v>2</v>
      </c>
      <c r="N211" s="342" t="s">
        <v>195</v>
      </c>
      <c r="O211" s="315" t="s">
        <v>130</v>
      </c>
      <c r="P211" s="317"/>
      <c r="Q211" s="342" t="s">
        <v>2</v>
      </c>
      <c r="R211" s="315" t="s">
        <v>129</v>
      </c>
      <c r="S211" s="317"/>
      <c r="T211" s="342" t="s">
        <v>2</v>
      </c>
      <c r="U211" s="342" t="s">
        <v>195</v>
      </c>
      <c r="V211" s="315" t="s">
        <v>130</v>
      </c>
      <c r="W211" s="317"/>
    </row>
    <row r="212" spans="3:38" s="3" customFormat="1" ht="18.75" customHeight="1" thickBot="1" x14ac:dyDescent="0.3">
      <c r="C212" s="93"/>
      <c r="D212" s="343"/>
      <c r="E212" s="36" t="s">
        <v>76</v>
      </c>
      <c r="F212" s="35" t="s">
        <v>77</v>
      </c>
      <c r="G212" s="36" t="s">
        <v>76</v>
      </c>
      <c r="H212" s="35" t="s">
        <v>77</v>
      </c>
      <c r="I212" s="343"/>
      <c r="J212" s="343"/>
      <c r="K212" s="36" t="s">
        <v>76</v>
      </c>
      <c r="L212" s="35" t="s">
        <v>77</v>
      </c>
      <c r="M212" s="343"/>
      <c r="N212" s="343"/>
      <c r="O212" s="36" t="s">
        <v>76</v>
      </c>
      <c r="P212" s="35" t="s">
        <v>77</v>
      </c>
      <c r="Q212" s="343"/>
      <c r="R212" s="36" t="s">
        <v>76</v>
      </c>
      <c r="S212" s="35" t="s">
        <v>77</v>
      </c>
      <c r="T212" s="343"/>
      <c r="U212" s="343"/>
      <c r="V212" s="36" t="s">
        <v>76</v>
      </c>
      <c r="W212" s="35" t="s">
        <v>77</v>
      </c>
    </row>
    <row r="213" spans="3:38" s="3" customFormat="1" ht="18.75" customHeight="1" thickBot="1" x14ac:dyDescent="0.3">
      <c r="C213" s="19" t="s">
        <v>14</v>
      </c>
      <c r="D213" s="20">
        <v>1778</v>
      </c>
      <c r="E213" s="51">
        <v>4.7890888638920135</v>
      </c>
      <c r="F213" s="51">
        <v>1.4217358282437866</v>
      </c>
      <c r="G213" s="51">
        <v>5.4578177727784025</v>
      </c>
      <c r="H213" s="51">
        <v>1.3720697190700475</v>
      </c>
      <c r="I213" s="20">
        <v>1776</v>
      </c>
      <c r="J213" s="20">
        <v>2</v>
      </c>
      <c r="K213" s="51">
        <v>3.3761261261261262</v>
      </c>
      <c r="L213" s="51">
        <v>1.5695604027516925</v>
      </c>
      <c r="M213" s="20">
        <v>1777</v>
      </c>
      <c r="N213" s="20">
        <v>1</v>
      </c>
      <c r="O213" s="51">
        <v>4.9803038829487898</v>
      </c>
      <c r="P213" s="51">
        <v>1.5661665333884072</v>
      </c>
      <c r="Q213" s="20">
        <v>1778</v>
      </c>
      <c r="R213" s="51">
        <v>4.9572553430821147</v>
      </c>
      <c r="S213" s="51">
        <v>1.5179940051608014</v>
      </c>
      <c r="T213" s="20">
        <v>1776</v>
      </c>
      <c r="U213" s="20">
        <v>2</v>
      </c>
      <c r="V213" s="51">
        <v>5.8445945945945947</v>
      </c>
      <c r="W213" s="52">
        <v>1.1974404882405669</v>
      </c>
    </row>
    <row r="214" spans="3:38" s="13" customFormat="1" ht="6" customHeight="1" x14ac:dyDescent="0.25">
      <c r="C214" s="53"/>
      <c r="D214" s="29"/>
      <c r="E214" s="29"/>
      <c r="F214" s="30"/>
      <c r="G214" s="31"/>
      <c r="H214" s="30"/>
      <c r="I214" s="30"/>
      <c r="J214" s="30"/>
      <c r="K214" s="31"/>
      <c r="L214" s="30"/>
      <c r="M214" s="30"/>
      <c r="N214" s="30"/>
      <c r="O214" s="29"/>
      <c r="P214" s="49"/>
      <c r="Q214" s="32"/>
      <c r="R214" s="32"/>
      <c r="S214" s="32"/>
      <c r="T214" s="30"/>
      <c r="U214" s="30"/>
      <c r="V214" s="32"/>
      <c r="W214" s="32"/>
      <c r="X214" s="3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7" spans="3:38" ht="18.75" customHeight="1" x14ac:dyDescent="0.25">
      <c r="C217" s="81" t="s">
        <v>261</v>
      </c>
    </row>
    <row r="219" spans="3:38" ht="18.75" customHeight="1" x14ac:dyDescent="0.25">
      <c r="C219" s="91"/>
      <c r="D219" s="312" t="s">
        <v>126</v>
      </c>
      <c r="E219" s="313"/>
      <c r="F219" s="313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13"/>
      <c r="X219" s="313"/>
      <c r="Y219" s="314"/>
    </row>
    <row r="220" spans="3:38" ht="18.75" customHeight="1" x14ac:dyDescent="0.25">
      <c r="C220" s="92"/>
      <c r="D220" s="315" t="s">
        <v>140</v>
      </c>
      <c r="E220" s="316"/>
      <c r="F220" s="316"/>
      <c r="G220" s="316"/>
      <c r="H220" s="316"/>
      <c r="I220" s="316"/>
      <c r="J220" s="317"/>
      <c r="K220" s="315" t="s">
        <v>141</v>
      </c>
      <c r="L220" s="316"/>
      <c r="M220" s="316"/>
      <c r="N220" s="316"/>
      <c r="O220" s="316"/>
      <c r="P220" s="316"/>
      <c r="Q220" s="317"/>
      <c r="R220" s="315" t="s">
        <v>142</v>
      </c>
      <c r="S220" s="316"/>
      <c r="T220" s="316"/>
      <c r="U220" s="316"/>
      <c r="V220" s="316"/>
      <c r="W220" s="316"/>
      <c r="X220" s="316"/>
      <c r="Y220" s="317"/>
    </row>
    <row r="221" spans="3:38" ht="18.75" customHeight="1" x14ac:dyDescent="0.25">
      <c r="C221" s="92"/>
      <c r="D221" s="342" t="s">
        <v>2</v>
      </c>
      <c r="E221" s="315" t="s">
        <v>129</v>
      </c>
      <c r="F221" s="317"/>
      <c r="G221" s="342" t="s">
        <v>2</v>
      </c>
      <c r="H221" s="342" t="s">
        <v>195</v>
      </c>
      <c r="I221" s="315" t="s">
        <v>130</v>
      </c>
      <c r="J221" s="317"/>
      <c r="K221" s="342" t="s">
        <v>2</v>
      </c>
      <c r="L221" s="315" t="s">
        <v>129</v>
      </c>
      <c r="M221" s="317"/>
      <c r="N221" s="342" t="s">
        <v>2</v>
      </c>
      <c r="O221" s="342" t="s">
        <v>195</v>
      </c>
      <c r="P221" s="315" t="s">
        <v>130</v>
      </c>
      <c r="Q221" s="317"/>
      <c r="R221" s="342" t="s">
        <v>2</v>
      </c>
      <c r="S221" s="342" t="s">
        <v>195</v>
      </c>
      <c r="T221" s="315" t="s">
        <v>129</v>
      </c>
      <c r="U221" s="317"/>
      <c r="V221" s="342" t="s">
        <v>2</v>
      </c>
      <c r="W221" s="342" t="s">
        <v>195</v>
      </c>
      <c r="X221" s="315" t="s">
        <v>130</v>
      </c>
      <c r="Y221" s="317"/>
    </row>
    <row r="222" spans="3:38" ht="18.75" customHeight="1" thickBot="1" x14ac:dyDescent="0.3">
      <c r="C222" s="93"/>
      <c r="D222" s="343"/>
      <c r="E222" s="36" t="s">
        <v>76</v>
      </c>
      <c r="F222" s="35" t="s">
        <v>77</v>
      </c>
      <c r="G222" s="343"/>
      <c r="H222" s="343"/>
      <c r="I222" s="36" t="s">
        <v>76</v>
      </c>
      <c r="J222" s="35" t="s">
        <v>77</v>
      </c>
      <c r="K222" s="343"/>
      <c r="L222" s="36" t="s">
        <v>76</v>
      </c>
      <c r="M222" s="35" t="s">
        <v>77</v>
      </c>
      <c r="N222" s="343"/>
      <c r="O222" s="343"/>
      <c r="P222" s="36" t="s">
        <v>76</v>
      </c>
      <c r="Q222" s="35" t="s">
        <v>77</v>
      </c>
      <c r="R222" s="343"/>
      <c r="S222" s="343"/>
      <c r="T222" s="36" t="s">
        <v>76</v>
      </c>
      <c r="U222" s="35" t="s">
        <v>77</v>
      </c>
      <c r="V222" s="343"/>
      <c r="W222" s="343"/>
      <c r="X222" s="36" t="s">
        <v>76</v>
      </c>
      <c r="Y222" s="35" t="s">
        <v>77</v>
      </c>
    </row>
    <row r="223" spans="3:38" s="3" customFormat="1" ht="18.75" customHeight="1" thickBot="1" x14ac:dyDescent="0.3">
      <c r="C223" s="19" t="s">
        <v>14</v>
      </c>
      <c r="D223" s="20">
        <v>1778</v>
      </c>
      <c r="E223" s="51">
        <v>4.1968503937007871</v>
      </c>
      <c r="F223" s="51">
        <v>1.4633205050531923</v>
      </c>
      <c r="G223" s="20">
        <v>1777</v>
      </c>
      <c r="H223" s="20">
        <v>1</v>
      </c>
      <c r="I223" s="51">
        <v>5.5818795723128867</v>
      </c>
      <c r="J223" s="51">
        <v>1.304085861317116</v>
      </c>
      <c r="K223" s="20">
        <v>1778</v>
      </c>
      <c r="L223" s="51">
        <v>3.9679415073115862</v>
      </c>
      <c r="M223" s="51">
        <v>1.6063276442859584</v>
      </c>
      <c r="N223" s="20">
        <v>1777</v>
      </c>
      <c r="O223" s="20">
        <v>1</v>
      </c>
      <c r="P223" s="51">
        <v>4.7006190208216099</v>
      </c>
      <c r="Q223" s="51">
        <v>1.5283966233341022</v>
      </c>
      <c r="R223" s="20">
        <v>1776</v>
      </c>
      <c r="S223" s="20">
        <v>2</v>
      </c>
      <c r="T223" s="51">
        <v>4.4684684684684681</v>
      </c>
      <c r="U223" s="51">
        <v>1.5228280278434214</v>
      </c>
      <c r="V223" s="20">
        <v>1776</v>
      </c>
      <c r="W223" s="20">
        <v>2</v>
      </c>
      <c r="X223" s="51">
        <v>5.1272522522522523</v>
      </c>
      <c r="Y223" s="52">
        <v>1.4239878522568954</v>
      </c>
    </row>
    <row r="224" spans="3:38" s="13" customFormat="1" ht="6" customHeight="1" x14ac:dyDescent="0.25">
      <c r="C224" s="53"/>
      <c r="D224" s="29"/>
      <c r="E224" s="29"/>
      <c r="F224" s="30"/>
      <c r="G224" s="30"/>
      <c r="H224" s="30"/>
      <c r="I224" s="31"/>
      <c r="J224" s="30"/>
      <c r="K224" s="30"/>
      <c r="L224" s="31"/>
      <c r="M224" s="30"/>
      <c r="N224" s="30"/>
      <c r="O224" s="30"/>
      <c r="P224" s="29"/>
      <c r="Q224" s="49"/>
      <c r="R224" s="30"/>
      <c r="S224" s="30"/>
      <c r="T224" s="32"/>
      <c r="U224" s="32"/>
      <c r="V224" s="30"/>
      <c r="W224" s="30"/>
      <c r="X224" s="32"/>
      <c r="Y224" s="32"/>
      <c r="Z224" s="3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7" spans="2:31" customFormat="1" ht="32.25" thickBot="1" x14ac:dyDescent="0.55000000000000004">
      <c r="B227" s="89" t="s">
        <v>262</v>
      </c>
      <c r="C227" s="90"/>
      <c r="D227" s="83"/>
      <c r="E227" s="83"/>
      <c r="F227" s="84"/>
      <c r="G227" s="84"/>
      <c r="H227" s="84"/>
      <c r="I227" s="84"/>
      <c r="J227" s="84"/>
      <c r="K227" s="84"/>
      <c r="L227" s="84"/>
      <c r="M227" s="84"/>
      <c r="N227" s="80"/>
      <c r="O227" s="80"/>
      <c r="P227" s="80"/>
    </row>
    <row r="228" spans="2:31" ht="18.75" customHeight="1" x14ac:dyDescent="0.25">
      <c r="C228" s="97" t="s">
        <v>263</v>
      </c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31" ht="18.75" customHeight="1" x14ac:dyDescent="0.25"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31" ht="18.75" customHeight="1" x14ac:dyDescent="0.25">
      <c r="J230" s="10"/>
      <c r="K230" s="10"/>
      <c r="L230" s="10"/>
      <c r="M230" s="10"/>
      <c r="N230" s="10"/>
      <c r="O230" s="10"/>
      <c r="P230" s="10"/>
      <c r="Q230" s="10"/>
      <c r="R230" s="10"/>
    </row>
    <row r="232" spans="2:31" ht="18.75" customHeight="1" x14ac:dyDescent="0.25">
      <c r="C232" s="334"/>
      <c r="D232" s="312" t="s">
        <v>143</v>
      </c>
      <c r="E232" s="313"/>
      <c r="F232" s="313"/>
      <c r="G232" s="313"/>
      <c r="H232" s="314"/>
    </row>
    <row r="233" spans="2:31" s="3" customFormat="1" ht="24" customHeight="1" x14ac:dyDescent="0.25">
      <c r="C233" s="334"/>
      <c r="D233" s="323" t="s">
        <v>2</v>
      </c>
      <c r="E233" s="332" t="s">
        <v>144</v>
      </c>
      <c r="F233" s="333"/>
      <c r="G233" s="321" t="s">
        <v>145</v>
      </c>
      <c r="H233" s="321"/>
    </row>
    <row r="234" spans="2:31" s="3" customFormat="1" ht="18.75" customHeight="1" thickBot="1" x14ac:dyDescent="0.3">
      <c r="C234" s="334"/>
      <c r="D234" s="325"/>
      <c r="E234" s="35" t="s">
        <v>2</v>
      </c>
      <c r="F234" s="36" t="s">
        <v>150</v>
      </c>
      <c r="G234" s="35" t="s">
        <v>2</v>
      </c>
      <c r="H234" s="36" t="s">
        <v>150</v>
      </c>
    </row>
    <row r="235" spans="2:31" s="3" customFormat="1" ht="18.75" customHeight="1" thickBot="1" x14ac:dyDescent="0.3">
      <c r="C235" s="19" t="s">
        <v>14</v>
      </c>
      <c r="D235" s="62">
        <v>220</v>
      </c>
      <c r="E235" s="22">
        <v>154</v>
      </c>
      <c r="F235" s="21">
        <v>0.7</v>
      </c>
      <c r="G235" s="22">
        <v>66</v>
      </c>
      <c r="H235" s="21">
        <v>0.3</v>
      </c>
    </row>
    <row r="236" spans="2:31" s="13" customFormat="1" ht="6" customHeight="1" x14ac:dyDescent="0.25">
      <c r="C236" s="53"/>
      <c r="D236" s="31"/>
      <c r="E236" s="29"/>
      <c r="F236" s="29"/>
      <c r="G236" s="30"/>
      <c r="H236" s="29"/>
      <c r="R236" s="32"/>
      <c r="S236" s="3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9" spans="2:31" ht="18.75" customHeight="1" x14ac:dyDescent="0.45">
      <c r="C239" s="88" t="s">
        <v>268</v>
      </c>
      <c r="D239" s="82"/>
      <c r="E239" s="82"/>
      <c r="F239" s="80"/>
      <c r="G239" s="80"/>
      <c r="H239" s="80"/>
      <c r="I239" s="80"/>
      <c r="J239" s="80"/>
      <c r="K239" s="80"/>
      <c r="L239" s="80"/>
      <c r="M239" s="80"/>
      <c r="N239" s="10"/>
      <c r="O239" s="10"/>
      <c r="P239" s="10"/>
      <c r="Q239" s="10"/>
      <c r="R239" s="10"/>
    </row>
    <row r="241" spans="3:35" ht="18.75" customHeight="1" x14ac:dyDescent="0.25">
      <c r="C241" s="81" t="s">
        <v>264</v>
      </c>
    </row>
    <row r="243" spans="3:35" ht="34.5" customHeight="1" x14ac:dyDescent="0.25">
      <c r="C243" s="373"/>
      <c r="D243" s="323" t="s">
        <v>2</v>
      </c>
      <c r="E243" s="332" t="s">
        <v>146</v>
      </c>
      <c r="F243" s="333"/>
      <c r="G243" s="321" t="s">
        <v>147</v>
      </c>
      <c r="H243" s="321"/>
      <c r="I243" s="321" t="s">
        <v>148</v>
      </c>
      <c r="J243" s="321"/>
      <c r="K243" s="321" t="s">
        <v>149</v>
      </c>
      <c r="L243" s="321"/>
    </row>
    <row r="244" spans="3:35" ht="18.75" customHeight="1" thickBot="1" x14ac:dyDescent="0.3">
      <c r="C244" s="374"/>
      <c r="D244" s="325"/>
      <c r="E244" s="35" t="s">
        <v>2</v>
      </c>
      <c r="F244" s="35" t="s">
        <v>151</v>
      </c>
      <c r="G244" s="35" t="s">
        <v>2</v>
      </c>
      <c r="H244" s="35" t="s">
        <v>151</v>
      </c>
      <c r="I244" s="35" t="s">
        <v>2</v>
      </c>
      <c r="J244" s="35" t="s">
        <v>151</v>
      </c>
      <c r="K244" s="35" t="s">
        <v>2</v>
      </c>
      <c r="L244" s="35" t="s">
        <v>151</v>
      </c>
    </row>
    <row r="245" spans="3:35" ht="18.75" customHeight="1" thickBot="1" x14ac:dyDescent="0.3">
      <c r="C245" s="19" t="s">
        <v>14</v>
      </c>
      <c r="D245" s="22">
        <v>154</v>
      </c>
      <c r="E245" s="22">
        <v>100</v>
      </c>
      <c r="F245" s="21">
        <v>0.64935064935064934</v>
      </c>
      <c r="G245" s="22">
        <v>36</v>
      </c>
      <c r="H245" s="21">
        <v>0.23376623376623376</v>
      </c>
      <c r="I245" s="22">
        <v>14</v>
      </c>
      <c r="J245" s="21">
        <v>9.0909090909090912E-2</v>
      </c>
      <c r="K245" s="22">
        <v>4</v>
      </c>
      <c r="L245" s="23">
        <v>2.5974025974025976E-2</v>
      </c>
    </row>
    <row r="246" spans="3:35" s="13" customFormat="1" ht="6" customHeight="1" x14ac:dyDescent="0.25">
      <c r="C246" s="53"/>
      <c r="E246" s="29"/>
      <c r="F246" s="29"/>
      <c r="G246" s="30"/>
      <c r="H246" s="31"/>
      <c r="I246" s="3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3:35" ht="18.75" customHeight="1" x14ac:dyDescent="0.25">
      <c r="C247" s="45"/>
    </row>
    <row r="248" spans="3:35" ht="18.75" customHeight="1" x14ac:dyDescent="0.25">
      <c r="C248" s="45"/>
    </row>
    <row r="249" spans="3:35" ht="18.75" customHeight="1" x14ac:dyDescent="0.25">
      <c r="C249" s="81" t="s">
        <v>265</v>
      </c>
    </row>
    <row r="251" spans="3:35" s="3" customFormat="1" ht="24.75" customHeight="1" x14ac:dyDescent="0.25">
      <c r="C251" s="373"/>
      <c r="D251" s="323" t="s">
        <v>2</v>
      </c>
      <c r="E251" s="321" t="s">
        <v>195</v>
      </c>
      <c r="F251" s="321"/>
      <c r="G251" s="103">
        <v>0</v>
      </c>
      <c r="H251" s="104"/>
      <c r="I251" s="321" t="s">
        <v>153</v>
      </c>
      <c r="J251" s="321"/>
      <c r="K251" s="344" t="s">
        <v>154</v>
      </c>
      <c r="L251" s="322"/>
      <c r="M251" s="321" t="s">
        <v>155</v>
      </c>
      <c r="N251" s="321"/>
    </row>
    <row r="252" spans="3:35" s="3" customFormat="1" ht="18.75" customHeight="1" thickBot="1" x14ac:dyDescent="0.3">
      <c r="C252" s="374"/>
      <c r="D252" s="325"/>
      <c r="E252" s="75" t="s">
        <v>2</v>
      </c>
      <c r="F252" s="75" t="s">
        <v>151</v>
      </c>
      <c r="G252" s="35" t="s">
        <v>2</v>
      </c>
      <c r="H252" s="35" t="s">
        <v>151</v>
      </c>
      <c r="I252" s="35" t="s">
        <v>2</v>
      </c>
      <c r="J252" s="35" t="s">
        <v>151</v>
      </c>
      <c r="K252" s="35" t="s">
        <v>2</v>
      </c>
      <c r="L252" s="35" t="s">
        <v>151</v>
      </c>
      <c r="M252" s="35" t="s">
        <v>2</v>
      </c>
      <c r="N252" s="35" t="s">
        <v>151</v>
      </c>
    </row>
    <row r="253" spans="3:35" s="3" customFormat="1" ht="18.75" customHeight="1" thickBot="1" x14ac:dyDescent="0.3">
      <c r="C253" s="19" t="s">
        <v>14</v>
      </c>
      <c r="D253" s="62">
        <v>154</v>
      </c>
      <c r="E253" s="62">
        <v>1</v>
      </c>
      <c r="F253" s="21">
        <v>6.4935064935064939E-3</v>
      </c>
      <c r="G253" s="22">
        <v>54</v>
      </c>
      <c r="H253" s="21">
        <v>0.35064935064935066</v>
      </c>
      <c r="I253" s="22">
        <v>80</v>
      </c>
      <c r="J253" s="21">
        <v>0.51948051948051943</v>
      </c>
      <c r="K253" s="22">
        <v>18</v>
      </c>
      <c r="L253" s="21">
        <v>0.11688311688311688</v>
      </c>
      <c r="M253" s="22">
        <v>1</v>
      </c>
      <c r="N253" s="23">
        <v>6.4935064935064939E-3</v>
      </c>
    </row>
    <row r="254" spans="3:35" s="13" customFormat="1" ht="6" customHeight="1" x14ac:dyDescent="0.25">
      <c r="C254" s="53"/>
      <c r="D254" s="30"/>
      <c r="E254" s="30"/>
      <c r="F254" s="30"/>
      <c r="G254" s="29"/>
      <c r="H254" s="29"/>
      <c r="I254" s="30"/>
      <c r="J254" s="31"/>
      <c r="K254" s="30"/>
      <c r="L254" s="30"/>
      <c r="M254" s="31"/>
      <c r="N254" s="30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7" spans="3:36" ht="18.75" customHeight="1" x14ac:dyDescent="0.25">
      <c r="C257" s="81" t="s">
        <v>266</v>
      </c>
    </row>
    <row r="259" spans="3:36" s="3" customFormat="1" ht="30.75" customHeight="1" x14ac:dyDescent="0.25">
      <c r="C259" s="373"/>
      <c r="D259" s="323" t="s">
        <v>2</v>
      </c>
      <c r="E259" s="376" t="s">
        <v>161</v>
      </c>
      <c r="F259" s="321" t="s">
        <v>162</v>
      </c>
      <c r="G259" s="321"/>
      <c r="H259" s="321" t="s">
        <v>163</v>
      </c>
      <c r="I259" s="321"/>
      <c r="J259" s="321" t="s">
        <v>164</v>
      </c>
      <c r="K259" s="321"/>
      <c r="L259" s="321" t="s">
        <v>165</v>
      </c>
      <c r="M259" s="321"/>
      <c r="N259" s="321" t="s">
        <v>166</v>
      </c>
      <c r="O259" s="321"/>
      <c r="P259" s="321" t="s">
        <v>167</v>
      </c>
      <c r="Q259" s="321"/>
      <c r="R259" s="321" t="s">
        <v>36</v>
      </c>
      <c r="S259" s="321"/>
      <c r="T259" s="321" t="s">
        <v>168</v>
      </c>
      <c r="U259" s="321"/>
      <c r="V259" s="321" t="s">
        <v>169</v>
      </c>
      <c r="W259" s="321"/>
      <c r="X259" s="321" t="s">
        <v>39</v>
      </c>
      <c r="Y259" s="321"/>
      <c r="Z259" s="332" t="s">
        <v>40</v>
      </c>
      <c r="AA259" s="333"/>
    </row>
    <row r="260" spans="3:36" s="3" customFormat="1" ht="21" customHeight="1" thickBot="1" x14ac:dyDescent="0.3">
      <c r="C260" s="374"/>
      <c r="D260" s="325"/>
      <c r="E260" s="377"/>
      <c r="F260" s="35" t="s">
        <v>2</v>
      </c>
      <c r="G260" s="35" t="s">
        <v>13</v>
      </c>
      <c r="H260" s="35" t="s">
        <v>2</v>
      </c>
      <c r="I260" s="35" t="s">
        <v>13</v>
      </c>
      <c r="J260" s="35" t="s">
        <v>2</v>
      </c>
      <c r="K260" s="35" t="s">
        <v>13</v>
      </c>
      <c r="L260" s="35" t="s">
        <v>2</v>
      </c>
      <c r="M260" s="35" t="s">
        <v>13</v>
      </c>
      <c r="N260" s="35" t="s">
        <v>2</v>
      </c>
      <c r="O260" s="35" t="s">
        <v>13</v>
      </c>
      <c r="P260" s="35" t="s">
        <v>2</v>
      </c>
      <c r="Q260" s="35" t="s">
        <v>13</v>
      </c>
      <c r="R260" s="35" t="s">
        <v>2</v>
      </c>
      <c r="S260" s="35" t="s">
        <v>13</v>
      </c>
      <c r="T260" s="35" t="s">
        <v>2</v>
      </c>
      <c r="U260" s="35" t="s">
        <v>13</v>
      </c>
      <c r="V260" s="35" t="s">
        <v>2</v>
      </c>
      <c r="W260" s="35" t="s">
        <v>13</v>
      </c>
      <c r="X260" s="35" t="s">
        <v>2</v>
      </c>
      <c r="Y260" s="35" t="s">
        <v>13</v>
      </c>
      <c r="Z260" s="35" t="s">
        <v>2</v>
      </c>
      <c r="AA260" s="35" t="s">
        <v>13</v>
      </c>
    </row>
    <row r="261" spans="3:36" s="3" customFormat="1" ht="18.75" customHeight="1" thickBot="1" x14ac:dyDescent="0.3">
      <c r="C261" s="19" t="s">
        <v>14</v>
      </c>
      <c r="D261" s="63">
        <v>692</v>
      </c>
      <c r="E261" s="22">
        <v>220</v>
      </c>
      <c r="F261" s="22">
        <v>120</v>
      </c>
      <c r="G261" s="21">
        <v>0.17341040462427745</v>
      </c>
      <c r="H261" s="22">
        <v>111</v>
      </c>
      <c r="I261" s="21">
        <v>0.16040462427745664</v>
      </c>
      <c r="J261" s="22">
        <v>60</v>
      </c>
      <c r="K261" s="21">
        <v>8.6705202312138727E-2</v>
      </c>
      <c r="L261" s="22">
        <v>38</v>
      </c>
      <c r="M261" s="21">
        <v>5.4913294797687862E-2</v>
      </c>
      <c r="N261" s="22">
        <v>72</v>
      </c>
      <c r="O261" s="21">
        <v>0.10404624277456648</v>
      </c>
      <c r="P261" s="22">
        <v>26</v>
      </c>
      <c r="Q261" s="21">
        <v>3.7572254335260118E-2</v>
      </c>
      <c r="R261" s="22">
        <v>56</v>
      </c>
      <c r="S261" s="21">
        <v>8.0924855491329481E-2</v>
      </c>
      <c r="T261" s="22">
        <v>12</v>
      </c>
      <c r="U261" s="21">
        <v>1.7341040462427744E-2</v>
      </c>
      <c r="V261" s="22">
        <v>49</v>
      </c>
      <c r="W261" s="21">
        <v>7.0809248554913301E-2</v>
      </c>
      <c r="X261" s="22">
        <v>145</v>
      </c>
      <c r="Y261" s="21">
        <v>0.20953757225433525</v>
      </c>
      <c r="Z261" s="22">
        <v>3</v>
      </c>
      <c r="AA261" s="23">
        <v>4.335260115606936E-3</v>
      </c>
    </row>
    <row r="262" spans="3:36" s="13" customFormat="1" ht="6" customHeight="1" thickBot="1" x14ac:dyDescent="0.3">
      <c r="C262" s="53"/>
      <c r="D262" s="64"/>
      <c r="E262" s="29"/>
      <c r="F262" s="30"/>
      <c r="G262" s="31"/>
      <c r="H262" s="30"/>
      <c r="I262" s="30"/>
      <c r="J262" s="31"/>
      <c r="K262" s="30"/>
      <c r="L262" s="29"/>
      <c r="M262" s="49"/>
      <c r="N262" s="32"/>
      <c r="O262" s="32"/>
      <c r="P262" s="32"/>
      <c r="Q262" s="32"/>
      <c r="R262" s="32"/>
      <c r="S262" s="3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4" spans="3:36" ht="18.75" customHeight="1" x14ac:dyDescent="0.25">
      <c r="I264" s="166"/>
    </row>
    <row r="265" spans="3:36" ht="18.75" customHeight="1" x14ac:dyDescent="0.25">
      <c r="C265" s="81" t="s">
        <v>272</v>
      </c>
    </row>
    <row r="267" spans="3:36" ht="18.75" customHeight="1" x14ac:dyDescent="0.25">
      <c r="C267" s="318"/>
      <c r="D267" s="336" t="s">
        <v>273</v>
      </c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8"/>
    </row>
    <row r="268" spans="3:36" ht="18.75" customHeight="1" x14ac:dyDescent="0.25">
      <c r="C268" s="319"/>
      <c r="D268" s="312" t="s">
        <v>170</v>
      </c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4"/>
    </row>
    <row r="269" spans="3:36" s="3" customFormat="1" ht="33" customHeight="1" x14ac:dyDescent="0.25">
      <c r="C269" s="319"/>
      <c r="D269" s="332" t="s">
        <v>171</v>
      </c>
      <c r="E269" s="335"/>
      <c r="F269" s="335"/>
      <c r="G269" s="333"/>
      <c r="H269" s="332" t="s">
        <v>172</v>
      </c>
      <c r="I269" s="335"/>
      <c r="J269" s="335"/>
      <c r="K269" s="333"/>
      <c r="L269" s="332" t="s">
        <v>173</v>
      </c>
      <c r="M269" s="335"/>
      <c r="N269" s="335"/>
      <c r="O269" s="333"/>
      <c r="P269" s="332" t="s">
        <v>174</v>
      </c>
      <c r="Q269" s="335"/>
      <c r="R269" s="335"/>
      <c r="S269" s="333"/>
      <c r="T269" s="332" t="s">
        <v>175</v>
      </c>
      <c r="U269" s="335"/>
      <c r="V269" s="335"/>
      <c r="W269" s="333"/>
    </row>
    <row r="270" spans="3:36" s="3" customFormat="1" ht="18.75" customHeight="1" thickBot="1" x14ac:dyDescent="0.3">
      <c r="C270" s="320"/>
      <c r="D270" s="70" t="s">
        <v>2</v>
      </c>
      <c r="E270" s="70" t="s">
        <v>195</v>
      </c>
      <c r="F270" s="70" t="s">
        <v>76</v>
      </c>
      <c r="G270" s="70" t="s">
        <v>77</v>
      </c>
      <c r="H270" s="70" t="s">
        <v>2</v>
      </c>
      <c r="I270" s="70" t="s">
        <v>195</v>
      </c>
      <c r="J270" s="70" t="s">
        <v>76</v>
      </c>
      <c r="K270" s="70" t="s">
        <v>77</v>
      </c>
      <c r="L270" s="70" t="s">
        <v>2</v>
      </c>
      <c r="M270" s="70" t="s">
        <v>195</v>
      </c>
      <c r="N270" s="70" t="s">
        <v>76</v>
      </c>
      <c r="O270" s="70" t="s">
        <v>77</v>
      </c>
      <c r="P270" s="70" t="s">
        <v>2</v>
      </c>
      <c r="Q270" s="70" t="s">
        <v>195</v>
      </c>
      <c r="R270" s="70" t="s">
        <v>76</v>
      </c>
      <c r="S270" s="70" t="s">
        <v>77</v>
      </c>
      <c r="T270" s="70" t="s">
        <v>2</v>
      </c>
      <c r="U270" s="70" t="s">
        <v>195</v>
      </c>
      <c r="V270" s="70" t="s">
        <v>76</v>
      </c>
      <c r="W270" s="70" t="s">
        <v>77</v>
      </c>
    </row>
    <row r="271" spans="3:36" s="3" customFormat="1" ht="18.75" customHeight="1" thickBot="1" x14ac:dyDescent="0.3">
      <c r="C271" s="19" t="s">
        <v>14</v>
      </c>
      <c r="D271" s="54">
        <v>152</v>
      </c>
      <c r="E271" s="54">
        <v>2</v>
      </c>
      <c r="F271" s="55">
        <v>3.2105263157894739</v>
      </c>
      <c r="G271" s="55">
        <v>1.9484467542814148</v>
      </c>
      <c r="H271" s="54">
        <v>153</v>
      </c>
      <c r="I271" s="54">
        <v>1</v>
      </c>
      <c r="J271" s="55">
        <v>2.7581699346405228</v>
      </c>
      <c r="K271" s="55">
        <v>2.0066538781567953</v>
      </c>
      <c r="L271" s="54">
        <v>153</v>
      </c>
      <c r="M271" s="54">
        <v>1</v>
      </c>
      <c r="N271" s="55">
        <v>4.3071895424836599</v>
      </c>
      <c r="O271" s="55">
        <v>2.1314717109609411</v>
      </c>
      <c r="P271" s="54">
        <v>152</v>
      </c>
      <c r="Q271" s="54">
        <v>2</v>
      </c>
      <c r="R271" s="55">
        <v>4.5723684210526319</v>
      </c>
      <c r="S271" s="55">
        <v>2.025015652573666</v>
      </c>
      <c r="T271" s="54">
        <v>152</v>
      </c>
      <c r="U271" s="54">
        <v>2</v>
      </c>
      <c r="V271" s="55">
        <v>3.4934210526315788</v>
      </c>
      <c r="W271" s="55">
        <v>1.7147459817143493</v>
      </c>
    </row>
    <row r="272" spans="3:36" s="13" customFormat="1" ht="6" customHeight="1" x14ac:dyDescent="0.25">
      <c r="C272" s="53"/>
      <c r="D272" s="29"/>
      <c r="E272" s="29"/>
      <c r="F272" s="29"/>
      <c r="G272" s="30"/>
      <c r="H272" s="31"/>
      <c r="I272" s="29"/>
      <c r="J272" s="30"/>
      <c r="K272" s="30"/>
      <c r="L272" s="31"/>
      <c r="M272" s="29"/>
      <c r="N272" s="30"/>
      <c r="O272" s="29"/>
      <c r="P272" s="49"/>
      <c r="Q272" s="29"/>
      <c r="R272" s="32"/>
      <c r="S272" s="32"/>
      <c r="T272" s="32"/>
      <c r="U272" s="29"/>
      <c r="V272" s="32"/>
      <c r="W272" s="32"/>
      <c r="AJ272" s="2"/>
    </row>
    <row r="274" spans="3:36" ht="18.75" customHeight="1" x14ac:dyDescent="0.25">
      <c r="C274" s="318"/>
      <c r="D274" s="336" t="s">
        <v>273</v>
      </c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8"/>
    </row>
    <row r="275" spans="3:36" ht="18.75" customHeight="1" x14ac:dyDescent="0.25">
      <c r="C275" s="319"/>
      <c r="D275" s="312" t="s">
        <v>170</v>
      </c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4"/>
    </row>
    <row r="276" spans="3:36" ht="33" customHeight="1" x14ac:dyDescent="0.25">
      <c r="C276" s="319"/>
      <c r="D276" s="332" t="s">
        <v>176</v>
      </c>
      <c r="E276" s="335"/>
      <c r="F276" s="335"/>
      <c r="G276" s="333"/>
      <c r="H276" s="332" t="s">
        <v>177</v>
      </c>
      <c r="I276" s="335"/>
      <c r="J276" s="335"/>
      <c r="K276" s="333"/>
      <c r="L276" s="332" t="s">
        <v>178</v>
      </c>
      <c r="M276" s="335"/>
      <c r="N276" s="335"/>
      <c r="O276" s="333"/>
      <c r="P276" s="332" t="s">
        <v>179</v>
      </c>
      <c r="Q276" s="335"/>
      <c r="R276" s="335"/>
      <c r="S276" s="333"/>
    </row>
    <row r="277" spans="3:36" ht="18.75" customHeight="1" thickBot="1" x14ac:dyDescent="0.3">
      <c r="C277" s="320"/>
      <c r="D277" s="70" t="s">
        <v>2</v>
      </c>
      <c r="E277" s="70" t="s">
        <v>195</v>
      </c>
      <c r="F277" s="70" t="s">
        <v>76</v>
      </c>
      <c r="G277" s="70" t="s">
        <v>77</v>
      </c>
      <c r="H277" s="70" t="s">
        <v>2</v>
      </c>
      <c r="I277" s="70" t="s">
        <v>195</v>
      </c>
      <c r="J277" s="70" t="s">
        <v>76</v>
      </c>
      <c r="K277" s="70" t="s">
        <v>77</v>
      </c>
      <c r="L277" s="70" t="s">
        <v>2</v>
      </c>
      <c r="M277" s="70" t="s">
        <v>195</v>
      </c>
      <c r="N277" s="70" t="s">
        <v>76</v>
      </c>
      <c r="O277" s="70" t="s">
        <v>77</v>
      </c>
      <c r="P277" s="70" t="s">
        <v>2</v>
      </c>
      <c r="Q277" s="70" t="s">
        <v>195</v>
      </c>
      <c r="R277" s="70" t="s">
        <v>76</v>
      </c>
      <c r="S277" s="70" t="s">
        <v>77</v>
      </c>
    </row>
    <row r="278" spans="3:36" ht="18.75" customHeight="1" thickBot="1" x14ac:dyDescent="0.3">
      <c r="C278" s="19" t="s">
        <v>14</v>
      </c>
      <c r="D278" s="54">
        <v>153</v>
      </c>
      <c r="E278" s="54">
        <v>1</v>
      </c>
      <c r="F278" s="55">
        <v>4.6209150326797381</v>
      </c>
      <c r="G278" s="55">
        <v>1.7881427293045253</v>
      </c>
      <c r="H278" s="54">
        <v>153</v>
      </c>
      <c r="I278" s="54">
        <v>1</v>
      </c>
      <c r="J278" s="55">
        <v>4.0457516339869279</v>
      </c>
      <c r="K278" s="55">
        <v>2.0401879082737433</v>
      </c>
      <c r="L278" s="54">
        <v>153</v>
      </c>
      <c r="M278" s="54">
        <v>1</v>
      </c>
      <c r="N278" s="55">
        <v>3.3725490196078431</v>
      </c>
      <c r="O278" s="55">
        <v>2.0225126144332934</v>
      </c>
      <c r="P278" s="56">
        <v>153</v>
      </c>
      <c r="Q278" s="54">
        <v>1</v>
      </c>
      <c r="R278" s="55">
        <v>3.4313725490196076</v>
      </c>
      <c r="S278" s="57">
        <v>1.6692446522239717</v>
      </c>
    </row>
    <row r="279" spans="3:36" s="13" customFormat="1" ht="6" customHeight="1" x14ac:dyDescent="0.25">
      <c r="C279" s="53"/>
      <c r="D279" s="29"/>
      <c r="E279" s="29"/>
      <c r="F279" s="29"/>
      <c r="G279" s="30"/>
      <c r="H279" s="31"/>
      <c r="I279" s="29"/>
      <c r="J279" s="30"/>
      <c r="K279" s="30"/>
      <c r="L279" s="31"/>
      <c r="M279" s="29"/>
      <c r="N279" s="30"/>
      <c r="O279" s="29"/>
      <c r="P279" s="49"/>
      <c r="Q279" s="29"/>
      <c r="R279" s="32"/>
      <c r="S279" s="32"/>
      <c r="T279" s="32"/>
      <c r="U279" s="49"/>
      <c r="V279" s="32"/>
      <c r="W279" s="32"/>
      <c r="AJ279" s="2"/>
    </row>
    <row r="282" spans="3:36" ht="18.75" customHeight="1" x14ac:dyDescent="0.45">
      <c r="C282" s="88" t="s">
        <v>267</v>
      </c>
      <c r="D282" s="82"/>
    </row>
    <row r="283" spans="3:36" ht="18.75" customHeight="1" x14ac:dyDescent="0.45">
      <c r="C283" s="88"/>
      <c r="D283" s="82"/>
    </row>
    <row r="284" spans="3:36" ht="18.75" customHeight="1" x14ac:dyDescent="0.45">
      <c r="C284" s="88"/>
      <c r="D284" s="82"/>
      <c r="E284" s="82"/>
      <c r="F284" s="80"/>
      <c r="G284" s="80"/>
      <c r="H284" s="80"/>
      <c r="I284" s="80"/>
      <c r="J284" s="80"/>
      <c r="K284" s="80"/>
      <c r="L284" s="80"/>
      <c r="M284" s="80"/>
    </row>
    <row r="285" spans="3:36" ht="18.75" customHeight="1" x14ac:dyDescent="0.4">
      <c r="C285" s="334"/>
      <c r="D285" s="105"/>
      <c r="E285" s="329" t="s">
        <v>152</v>
      </c>
      <c r="F285" s="330"/>
      <c r="G285" s="330"/>
      <c r="H285" s="330"/>
      <c r="I285" s="330"/>
      <c r="J285" s="330"/>
      <c r="K285" s="330"/>
      <c r="L285" s="331"/>
      <c r="M285" s="80"/>
      <c r="N285" s="10"/>
      <c r="O285" s="10"/>
      <c r="P285" s="10"/>
      <c r="Q285" s="10"/>
      <c r="R285" s="10"/>
    </row>
    <row r="286" spans="3:36" ht="37.5" customHeight="1" x14ac:dyDescent="0.4">
      <c r="C286" s="334"/>
      <c r="D286" s="323" t="s">
        <v>2</v>
      </c>
      <c r="E286" s="332" t="s">
        <v>156</v>
      </c>
      <c r="F286" s="333"/>
      <c r="G286" s="321" t="s">
        <v>157</v>
      </c>
      <c r="H286" s="321"/>
      <c r="I286" s="322" t="s">
        <v>40</v>
      </c>
      <c r="J286" s="322"/>
      <c r="K286" s="322" t="s">
        <v>195</v>
      </c>
      <c r="L286" s="322"/>
      <c r="M286" s="80"/>
      <c r="N286" s="10"/>
      <c r="O286" s="10"/>
      <c r="P286" s="10"/>
      <c r="Q286" s="10"/>
      <c r="R286" s="10"/>
    </row>
    <row r="287" spans="3:36" ht="18.75" customHeight="1" thickBot="1" x14ac:dyDescent="0.45">
      <c r="C287" s="334"/>
      <c r="D287" s="325"/>
      <c r="E287" s="35" t="s">
        <v>2</v>
      </c>
      <c r="F287" s="36" t="s">
        <v>158</v>
      </c>
      <c r="G287" s="35" t="s">
        <v>2</v>
      </c>
      <c r="H287" s="36" t="s">
        <v>159</v>
      </c>
      <c r="I287" s="60" t="s">
        <v>2</v>
      </c>
      <c r="J287" s="76" t="s">
        <v>159</v>
      </c>
      <c r="K287" s="35" t="s">
        <v>2</v>
      </c>
      <c r="L287" s="36" t="s">
        <v>160</v>
      </c>
      <c r="M287" s="80"/>
      <c r="N287" s="10"/>
      <c r="O287" s="10"/>
      <c r="P287" s="10"/>
      <c r="Q287" s="10"/>
      <c r="R287" s="10"/>
    </row>
    <row r="288" spans="3:36" ht="18.75" customHeight="1" thickBot="1" x14ac:dyDescent="0.3">
      <c r="C288" s="19" t="s">
        <v>14</v>
      </c>
      <c r="D288" s="63">
        <v>66</v>
      </c>
      <c r="E288" s="22">
        <v>41</v>
      </c>
      <c r="F288" s="21">
        <v>0.62121212121212122</v>
      </c>
      <c r="G288" s="22">
        <v>5</v>
      </c>
      <c r="H288" s="21">
        <v>7.575757575757576E-2</v>
      </c>
      <c r="I288" s="22">
        <v>19</v>
      </c>
      <c r="J288" s="21">
        <v>0.2878787878787879</v>
      </c>
      <c r="K288" s="22">
        <v>1</v>
      </c>
      <c r="L288" s="23">
        <v>1.5151515151515152E-2</v>
      </c>
      <c r="AA288" s="10"/>
    </row>
    <row r="289" spans="2:30" s="13" customFormat="1" ht="6" customHeight="1" x14ac:dyDescent="0.25">
      <c r="C289" s="53"/>
      <c r="D289" s="49"/>
      <c r="E289" s="29"/>
      <c r="F289" s="30"/>
      <c r="G289" s="31"/>
      <c r="H289" s="30"/>
      <c r="I289" s="30"/>
      <c r="J289" s="30"/>
      <c r="K289" s="30"/>
      <c r="L289" s="30"/>
      <c r="M289" s="32"/>
      <c r="N289" s="32"/>
      <c r="O289" s="32"/>
      <c r="P289" s="32"/>
      <c r="Q289" s="32"/>
      <c r="R289" s="3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2" spans="2:30" customFormat="1" ht="32.25" thickBot="1" x14ac:dyDescent="0.55000000000000004">
      <c r="B292" s="89" t="s">
        <v>219</v>
      </c>
      <c r="C292" s="90"/>
      <c r="D292" s="83"/>
      <c r="E292" s="83"/>
      <c r="F292" s="84"/>
      <c r="G292" s="84"/>
      <c r="H292" s="84"/>
      <c r="I292" s="84"/>
      <c r="J292" s="84"/>
      <c r="K292" s="84"/>
      <c r="L292" s="84"/>
      <c r="M292" s="84"/>
      <c r="N292" s="80"/>
      <c r="O292" s="80"/>
      <c r="P292" s="80"/>
    </row>
    <row r="293" spans="2:30" ht="18.75" customHeight="1" x14ac:dyDescent="0.25">
      <c r="C293" s="97" t="s">
        <v>263</v>
      </c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2:30" ht="18.75" customHeight="1" x14ac:dyDescent="0.25"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2:30" ht="18.75" customHeight="1" x14ac:dyDescent="0.25"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2:30" ht="18.75" customHeight="1" x14ac:dyDescent="0.25">
      <c r="C296" s="81" t="s">
        <v>269</v>
      </c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2:30" ht="18.75" customHeight="1" x14ac:dyDescent="0.25"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2:30" ht="18.75" customHeight="1" x14ac:dyDescent="0.25">
      <c r="C298" s="373"/>
      <c r="D298" s="329" t="s">
        <v>180</v>
      </c>
      <c r="E298" s="330"/>
      <c r="F298" s="330"/>
      <c r="G298" s="331"/>
      <c r="H298" s="329" t="s">
        <v>181</v>
      </c>
      <c r="I298" s="330"/>
      <c r="J298" s="330"/>
      <c r="K298" s="331"/>
    </row>
    <row r="299" spans="2:30" s="3" customFormat="1" ht="18.75" customHeight="1" x14ac:dyDescent="0.25">
      <c r="C299" s="375"/>
      <c r="D299" s="321" t="s">
        <v>2</v>
      </c>
      <c r="E299" s="323" t="s">
        <v>195</v>
      </c>
      <c r="F299" s="322" t="s">
        <v>21</v>
      </c>
      <c r="G299" s="322" t="s">
        <v>184</v>
      </c>
      <c r="H299" s="321" t="s">
        <v>2</v>
      </c>
      <c r="I299" s="323" t="s">
        <v>195</v>
      </c>
      <c r="J299" s="322" t="s">
        <v>21</v>
      </c>
      <c r="K299" s="322" t="s">
        <v>184</v>
      </c>
    </row>
    <row r="300" spans="2:30" s="3" customFormat="1" ht="24.75" customHeight="1" thickBot="1" x14ac:dyDescent="0.3">
      <c r="C300" s="374"/>
      <c r="D300" s="321"/>
      <c r="E300" s="325"/>
      <c r="F300" s="322"/>
      <c r="G300" s="322"/>
      <c r="H300" s="321"/>
      <c r="I300" s="325"/>
      <c r="J300" s="322"/>
      <c r="K300" s="322"/>
    </row>
    <row r="301" spans="2:30" s="3" customFormat="1" ht="18.75" customHeight="1" thickBot="1" x14ac:dyDescent="0.3">
      <c r="C301" s="19" t="s">
        <v>14</v>
      </c>
      <c r="D301" s="20">
        <v>1727</v>
      </c>
      <c r="E301" s="20">
        <v>51</v>
      </c>
      <c r="F301" s="21">
        <v>0.31210191082802546</v>
      </c>
      <c r="G301" s="21">
        <v>0.68789808917197448</v>
      </c>
      <c r="H301" s="20">
        <v>1724</v>
      </c>
      <c r="I301" s="20">
        <v>54</v>
      </c>
      <c r="J301" s="21">
        <v>0.1136890951276102</v>
      </c>
      <c r="K301" s="21">
        <v>0.88631090487238984</v>
      </c>
    </row>
    <row r="302" spans="2:30" s="13" customFormat="1" ht="6" customHeight="1" x14ac:dyDescent="0.25">
      <c r="C302" s="53"/>
      <c r="D302" s="29"/>
      <c r="E302" s="29"/>
      <c r="F302" s="29"/>
      <c r="G302" s="30"/>
      <c r="H302" s="31"/>
      <c r="I302" s="31"/>
      <c r="J302" s="30"/>
      <c r="K302" s="3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5" spans="3:35" ht="18.75" customHeight="1" x14ac:dyDescent="0.25">
      <c r="C305" s="81" t="s">
        <v>270</v>
      </c>
      <c r="J305" s="10"/>
      <c r="K305" s="10"/>
      <c r="L305" s="10"/>
      <c r="M305" s="10"/>
      <c r="N305" s="10"/>
      <c r="O305" s="10"/>
      <c r="P305" s="10"/>
      <c r="Q305" s="10"/>
      <c r="R305" s="10"/>
    </row>
    <row r="307" spans="3:35" ht="18.75" customHeight="1" x14ac:dyDescent="0.25">
      <c r="C307" s="373"/>
      <c r="D307" s="329" t="s">
        <v>182</v>
      </c>
      <c r="E307" s="330"/>
      <c r="F307" s="330"/>
      <c r="G307" s="330"/>
      <c r="H307" s="330"/>
      <c r="I307" s="330"/>
      <c r="J307" s="330"/>
      <c r="K307" s="331"/>
      <c r="L307" s="329" t="s">
        <v>183</v>
      </c>
      <c r="M307" s="330"/>
      <c r="N307" s="330"/>
      <c r="O307" s="331"/>
    </row>
    <row r="308" spans="3:35" ht="18.75" customHeight="1" x14ac:dyDescent="0.25">
      <c r="C308" s="375"/>
      <c r="D308" s="321" t="s">
        <v>2</v>
      </c>
      <c r="E308" s="323" t="s">
        <v>195</v>
      </c>
      <c r="F308" s="322" t="s">
        <v>185</v>
      </c>
      <c r="G308" s="321" t="s">
        <v>184</v>
      </c>
      <c r="H308" s="321"/>
      <c r="I308" s="321"/>
      <c r="J308" s="321"/>
      <c r="K308" s="321"/>
      <c r="L308" s="321" t="s">
        <v>2</v>
      </c>
      <c r="M308" s="323" t="s">
        <v>195</v>
      </c>
      <c r="N308" s="322" t="s">
        <v>21</v>
      </c>
      <c r="O308" s="322" t="s">
        <v>22</v>
      </c>
    </row>
    <row r="309" spans="3:35" ht="18.75" customHeight="1" thickBot="1" x14ac:dyDescent="0.3">
      <c r="C309" s="374"/>
      <c r="D309" s="321"/>
      <c r="E309" s="325"/>
      <c r="F309" s="322"/>
      <c r="G309" s="71" t="s">
        <v>186</v>
      </c>
      <c r="H309" s="216" t="s">
        <v>378</v>
      </c>
      <c r="I309" s="216" t="s">
        <v>379</v>
      </c>
      <c r="J309" s="71" t="s">
        <v>187</v>
      </c>
      <c r="K309" s="71" t="s">
        <v>40</v>
      </c>
      <c r="L309" s="321"/>
      <c r="M309" s="325"/>
      <c r="N309" s="322"/>
      <c r="O309" s="322"/>
    </row>
    <row r="310" spans="3:35" ht="18.75" customHeight="1" thickBot="1" x14ac:dyDescent="0.3">
      <c r="C310" s="19" t="s">
        <v>14</v>
      </c>
      <c r="D310" s="20">
        <v>1777</v>
      </c>
      <c r="E310" s="20">
        <v>1</v>
      </c>
      <c r="F310" s="21">
        <v>0.30388294879009564</v>
      </c>
      <c r="G310" s="21">
        <v>0.14687675858187957</v>
      </c>
      <c r="H310" s="21">
        <v>0.13674732695554306</v>
      </c>
      <c r="I310" s="21">
        <v>0.29712999437253801</v>
      </c>
      <c r="J310" s="21">
        <v>4.5019696117051207E-2</v>
      </c>
      <c r="K310" s="21">
        <v>7.0343275182892517E-2</v>
      </c>
      <c r="L310" s="20">
        <v>1235</v>
      </c>
      <c r="M310" s="20">
        <v>2</v>
      </c>
      <c r="N310" s="21">
        <v>0.61538461538461542</v>
      </c>
      <c r="O310" s="23">
        <v>0.38461538461538464</v>
      </c>
    </row>
    <row r="311" spans="3:35" s="13" customFormat="1" ht="6" customHeight="1" x14ac:dyDescent="0.25">
      <c r="C311" s="53"/>
      <c r="D311" s="29"/>
      <c r="E311" s="29"/>
      <c r="F311" s="29"/>
      <c r="G311" s="30"/>
      <c r="H311" s="31"/>
      <c r="I311" s="31"/>
      <c r="J311" s="30"/>
      <c r="K311" s="30"/>
      <c r="L311" s="32"/>
      <c r="M311" s="32"/>
      <c r="N311" s="32"/>
      <c r="O311" s="32"/>
      <c r="P311" s="49"/>
      <c r="Q311" s="32"/>
      <c r="R311" s="32"/>
      <c r="S311" s="32"/>
      <c r="T311" s="32"/>
      <c r="U311" s="32"/>
      <c r="V311" s="32"/>
      <c r="W311" s="3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4" spans="3:35" ht="18.75" customHeight="1" x14ac:dyDescent="0.25">
      <c r="C314" s="81" t="s">
        <v>271</v>
      </c>
      <c r="J314" s="10"/>
      <c r="K314" s="10"/>
      <c r="L314" s="10"/>
      <c r="M314" s="10"/>
      <c r="N314" s="10"/>
      <c r="O314" s="10"/>
      <c r="P314" s="10"/>
      <c r="Q314" s="10"/>
      <c r="R314" s="10"/>
    </row>
    <row r="316" spans="3:35" ht="18.75" customHeight="1" x14ac:dyDescent="0.25">
      <c r="C316" s="326"/>
      <c r="D316" s="336" t="s">
        <v>196</v>
      </c>
      <c r="E316" s="337"/>
      <c r="F316" s="337"/>
      <c r="G316" s="337"/>
      <c r="H316" s="338"/>
    </row>
    <row r="317" spans="3:35" ht="18.75" customHeight="1" x14ac:dyDescent="0.25">
      <c r="C317" s="327"/>
      <c r="D317" s="331" t="s">
        <v>188</v>
      </c>
      <c r="E317" s="351"/>
      <c r="F317" s="351"/>
      <c r="G317" s="351"/>
      <c r="H317" s="351"/>
    </row>
    <row r="318" spans="3:35" ht="18.75" customHeight="1" x14ac:dyDescent="0.25">
      <c r="C318" s="327"/>
      <c r="D318" s="333" t="s">
        <v>2</v>
      </c>
      <c r="E318" s="322" t="s">
        <v>185</v>
      </c>
      <c r="F318" s="321" t="s">
        <v>184</v>
      </c>
      <c r="G318" s="321"/>
      <c r="H318" s="321"/>
    </row>
    <row r="319" spans="3:35" ht="32.25" customHeight="1" thickBot="1" x14ac:dyDescent="0.3">
      <c r="C319" s="328"/>
      <c r="D319" s="333"/>
      <c r="E319" s="322"/>
      <c r="F319" s="36" t="s">
        <v>189</v>
      </c>
      <c r="G319" s="36" t="s">
        <v>190</v>
      </c>
      <c r="H319" s="36" t="s">
        <v>191</v>
      </c>
    </row>
    <row r="320" spans="3:35" s="3" customFormat="1" ht="18.75" customHeight="1" thickBot="1" x14ac:dyDescent="0.3">
      <c r="C320" s="19" t="s">
        <v>14</v>
      </c>
      <c r="D320" s="20">
        <v>1778</v>
      </c>
      <c r="E320" s="21">
        <v>0.56861642294713166</v>
      </c>
      <c r="F320" s="21">
        <v>0.15129358830146231</v>
      </c>
      <c r="G320" s="21">
        <v>0.16254218222722161</v>
      </c>
      <c r="H320" s="23">
        <v>0.11754780652418448</v>
      </c>
    </row>
    <row r="321" spans="2:31" s="13" customFormat="1" ht="6" customHeight="1" x14ac:dyDescent="0.25">
      <c r="C321" s="53"/>
      <c r="D321" s="29"/>
      <c r="E321" s="29"/>
      <c r="F321" s="30"/>
      <c r="G321" s="31"/>
      <c r="H321" s="30"/>
      <c r="I321" s="58"/>
      <c r="J321" s="32"/>
      <c r="K321" s="58"/>
      <c r="L321" s="49"/>
      <c r="M321" s="49"/>
      <c r="N321" s="32"/>
      <c r="O321" s="32"/>
      <c r="P321" s="32"/>
      <c r="Q321" s="32"/>
      <c r="R321" s="32"/>
      <c r="S321" s="3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5" spans="2:31" customFormat="1" ht="32.25" thickBot="1" x14ac:dyDescent="0.55000000000000004">
      <c r="B325" s="89" t="s">
        <v>231</v>
      </c>
      <c r="C325" s="90"/>
      <c r="D325" s="83"/>
      <c r="E325" s="83"/>
      <c r="F325" s="84"/>
      <c r="G325" s="84"/>
      <c r="H325" s="84"/>
      <c r="I325" s="84"/>
      <c r="J325" s="84"/>
      <c r="K325" s="84"/>
      <c r="L325" s="84"/>
      <c r="M325" s="84"/>
      <c r="N325" s="80"/>
      <c r="O325" s="80"/>
      <c r="P325" s="80"/>
    </row>
    <row r="326" spans="2:31" ht="18.75" customHeight="1" x14ac:dyDescent="0.25">
      <c r="C326" s="97" t="s">
        <v>263</v>
      </c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2:31" ht="18.75" customHeight="1" x14ac:dyDescent="0.25"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2:31" ht="18.75" customHeight="1" x14ac:dyDescent="0.25"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2:31" ht="18.75" customHeight="1" x14ac:dyDescent="0.25">
      <c r="C329" s="81" t="s">
        <v>274</v>
      </c>
      <c r="J329" s="10"/>
      <c r="K329" s="10"/>
      <c r="L329" s="10"/>
      <c r="M329" s="10"/>
      <c r="N329" s="10"/>
      <c r="O329" s="10"/>
      <c r="P329" s="10"/>
      <c r="Q329" s="10"/>
      <c r="R329" s="10"/>
    </row>
    <row r="331" spans="2:31" ht="18.75" customHeight="1" x14ac:dyDescent="0.25">
      <c r="C331" s="45"/>
    </row>
    <row r="332" spans="2:31" s="3" customFormat="1" ht="26.25" customHeight="1" thickBot="1" x14ac:dyDescent="0.3">
      <c r="C332" s="101"/>
      <c r="D332" s="71" t="s">
        <v>2</v>
      </c>
      <c r="E332" s="71" t="s">
        <v>195</v>
      </c>
      <c r="F332" s="71" t="s">
        <v>276</v>
      </c>
      <c r="G332" s="71" t="s">
        <v>277</v>
      </c>
      <c r="H332" s="71" t="s">
        <v>278</v>
      </c>
      <c r="I332" s="71" t="s">
        <v>279</v>
      </c>
      <c r="J332" s="2"/>
      <c r="K332" s="2"/>
      <c r="L332" s="2"/>
      <c r="M332" s="2"/>
    </row>
    <row r="333" spans="2:31" s="3" customFormat="1" ht="18.75" customHeight="1" thickBot="1" x14ac:dyDescent="0.3">
      <c r="C333" s="19" t="s">
        <v>14</v>
      </c>
      <c r="D333" s="20">
        <v>1789</v>
      </c>
      <c r="E333" s="21">
        <f>72/D333</f>
        <v>4.0245947456679712E-2</v>
      </c>
      <c r="F333" s="21">
        <f>1000/D333</f>
        <v>0.55897149245388489</v>
      </c>
      <c r="G333" s="21">
        <f>693/D333</f>
        <v>0.3873672442705422</v>
      </c>
      <c r="H333" s="21">
        <f>22/D333</f>
        <v>1.2297372833985467E-2</v>
      </c>
      <c r="I333" s="21">
        <f>2/D333</f>
        <v>1.1179429849077697E-3</v>
      </c>
    </row>
    <row r="334" spans="2:31" s="13" customFormat="1" ht="6" customHeight="1" x14ac:dyDescent="0.25">
      <c r="C334" s="28"/>
      <c r="D334" s="29"/>
      <c r="E334" s="31"/>
      <c r="F334" s="30"/>
      <c r="G334" s="31"/>
      <c r="H334" s="30"/>
      <c r="I334" s="31"/>
      <c r="J334" s="2"/>
      <c r="K334" s="2"/>
      <c r="L334" s="2"/>
      <c r="M334" s="2"/>
      <c r="N334" s="2"/>
      <c r="O334" s="2"/>
      <c r="P334" s="2"/>
    </row>
    <row r="335" spans="2:31" ht="18.75" customHeight="1" x14ac:dyDescent="0.25">
      <c r="D335" s="5"/>
      <c r="E335" s="5"/>
      <c r="F335" s="5"/>
      <c r="G335" s="5"/>
      <c r="H335" s="5"/>
      <c r="I335" s="5"/>
      <c r="J335" s="7"/>
      <c r="K335" s="5"/>
      <c r="L335" s="6"/>
      <c r="M335" s="6"/>
      <c r="N335" s="6"/>
      <c r="O335" s="6"/>
      <c r="P335" s="6"/>
      <c r="Q335" s="6"/>
    </row>
    <row r="337" spans="3:22" ht="18.75" customHeight="1" x14ac:dyDescent="0.25">
      <c r="C337" s="81" t="s">
        <v>307</v>
      </c>
    </row>
    <row r="339" spans="3:22" s="3" customFormat="1" ht="53.25" customHeight="1" thickBot="1" x14ac:dyDescent="0.3">
      <c r="C339" s="101"/>
      <c r="D339" s="71" t="s">
        <v>2</v>
      </c>
      <c r="E339" s="71" t="s">
        <v>195</v>
      </c>
      <c r="F339" s="71" t="s">
        <v>280</v>
      </c>
      <c r="G339" s="71" t="s">
        <v>281</v>
      </c>
      <c r="H339" s="71" t="s">
        <v>282</v>
      </c>
      <c r="I339" s="71" t="s">
        <v>283</v>
      </c>
      <c r="J339" s="71" t="s">
        <v>284</v>
      </c>
      <c r="K339" s="2"/>
      <c r="L339" s="2"/>
      <c r="M339" s="2"/>
      <c r="N339" s="2"/>
    </row>
    <row r="340" spans="3:22" s="3" customFormat="1" ht="18.75" customHeight="1" thickBot="1" x14ac:dyDescent="0.3">
      <c r="C340" s="19" t="s">
        <v>14</v>
      </c>
      <c r="D340" s="20">
        <v>1789</v>
      </c>
      <c r="E340" s="21">
        <f>10/D340</f>
        <v>5.5897149245388482E-3</v>
      </c>
      <c r="F340" s="21">
        <f>602/D340</f>
        <v>0.33650083845723866</v>
      </c>
      <c r="G340" s="21">
        <f>222/D340</f>
        <v>0.12409167132476244</v>
      </c>
      <c r="H340" s="21">
        <f>311/D340</f>
        <v>0.17384013415315819</v>
      </c>
      <c r="I340" s="21">
        <f>327/D340</f>
        <v>0.18278367803242035</v>
      </c>
      <c r="J340" s="21">
        <f>317/D340</f>
        <v>0.17719396310788149</v>
      </c>
    </row>
    <row r="341" spans="3:22" s="13" customFormat="1" ht="6" customHeight="1" x14ac:dyDescent="0.25">
      <c r="C341" s="28"/>
      <c r="D341" s="29"/>
      <c r="E341" s="31"/>
      <c r="F341" s="30"/>
      <c r="G341" s="30"/>
      <c r="H341" s="31"/>
      <c r="I341" s="30"/>
      <c r="J341" s="31"/>
      <c r="K341" s="2"/>
      <c r="L341" s="2"/>
      <c r="M341" s="2"/>
      <c r="N341" s="2"/>
      <c r="O341" s="2"/>
      <c r="P341" s="2"/>
      <c r="Q341" s="2"/>
    </row>
    <row r="344" spans="3:22" ht="18.75" customHeight="1" x14ac:dyDescent="0.25">
      <c r="C344" s="81" t="s">
        <v>275</v>
      </c>
    </row>
    <row r="346" spans="3:22" ht="18.75" customHeight="1" x14ac:dyDescent="0.25">
      <c r="C346" s="309"/>
      <c r="D346" s="312" t="s">
        <v>298</v>
      </c>
      <c r="E346" s="313"/>
      <c r="F346" s="313"/>
      <c r="G346" s="313"/>
      <c r="H346" s="313"/>
      <c r="I346" s="313"/>
      <c r="J346" s="313"/>
      <c r="K346" s="313"/>
      <c r="L346" s="313"/>
      <c r="M346" s="313"/>
      <c r="N346" s="313"/>
      <c r="O346" s="314"/>
      <c r="P346" s="5"/>
      <c r="Q346" s="5"/>
      <c r="R346" s="5"/>
      <c r="S346" s="5"/>
    </row>
    <row r="347" spans="3:22" ht="18.75" customHeight="1" x14ac:dyDescent="0.25">
      <c r="C347" s="310"/>
      <c r="D347" s="323" t="s">
        <v>18</v>
      </c>
      <c r="E347" s="323" t="s">
        <v>195</v>
      </c>
      <c r="F347" s="312" t="s">
        <v>285</v>
      </c>
      <c r="G347" s="313"/>
      <c r="H347" s="313"/>
      <c r="I347" s="314"/>
      <c r="J347" s="312" t="s">
        <v>287</v>
      </c>
      <c r="K347" s="313"/>
      <c r="L347" s="313"/>
      <c r="M347" s="313"/>
      <c r="N347" s="313"/>
      <c r="O347" s="314"/>
      <c r="P347" s="5"/>
      <c r="Q347" s="5"/>
      <c r="R347" s="5"/>
      <c r="S347" s="5"/>
    </row>
    <row r="348" spans="3:22" ht="18.75" customHeight="1" x14ac:dyDescent="0.25">
      <c r="C348" s="310"/>
      <c r="D348" s="324"/>
      <c r="E348" s="324"/>
      <c r="F348" s="315" t="s">
        <v>286</v>
      </c>
      <c r="G348" s="316"/>
      <c r="H348" s="316"/>
      <c r="I348" s="317"/>
      <c r="J348" s="315" t="s">
        <v>289</v>
      </c>
      <c r="K348" s="316"/>
      <c r="L348" s="316"/>
      <c r="M348" s="316"/>
      <c r="N348" s="316"/>
      <c r="O348" s="317"/>
      <c r="P348" s="5"/>
      <c r="Q348" s="5"/>
      <c r="R348" s="5"/>
      <c r="S348" s="5"/>
    </row>
    <row r="349" spans="3:22" s="3" customFormat="1" ht="37.5" customHeight="1" thickBot="1" x14ac:dyDescent="0.3">
      <c r="C349" s="311"/>
      <c r="D349" s="325"/>
      <c r="E349" s="325"/>
      <c r="F349" s="76" t="s">
        <v>2</v>
      </c>
      <c r="G349" s="71" t="s">
        <v>195</v>
      </c>
      <c r="H349" s="71" t="s">
        <v>184</v>
      </c>
      <c r="I349" s="71" t="s">
        <v>21</v>
      </c>
      <c r="J349" s="71" t="s">
        <v>288</v>
      </c>
      <c r="K349" s="71" t="s">
        <v>195</v>
      </c>
      <c r="L349" s="71" t="s">
        <v>290</v>
      </c>
      <c r="M349" s="71" t="s">
        <v>291</v>
      </c>
      <c r="N349" s="71" t="s">
        <v>292</v>
      </c>
      <c r="O349" s="71" t="s">
        <v>293</v>
      </c>
      <c r="P349" s="2"/>
      <c r="Q349" s="2"/>
      <c r="R349" s="2"/>
      <c r="S349" s="2"/>
    </row>
    <row r="350" spans="3:22" s="3" customFormat="1" ht="18.75" customHeight="1" thickBot="1" x14ac:dyDescent="0.3">
      <c r="C350" s="19" t="s">
        <v>14</v>
      </c>
      <c r="D350" s="20">
        <v>2</v>
      </c>
      <c r="E350" s="20">
        <v>33</v>
      </c>
      <c r="F350" s="20">
        <v>538</v>
      </c>
      <c r="G350" s="21">
        <f>2/F350</f>
        <v>3.7174721189591076E-3</v>
      </c>
      <c r="H350" s="21">
        <f>165/F350</f>
        <v>0.30669144981412638</v>
      </c>
      <c r="I350" s="21">
        <f>371/F350</f>
        <v>0.68959107806691455</v>
      </c>
      <c r="J350" s="62">
        <v>1216</v>
      </c>
      <c r="K350" s="21">
        <f>12/J350</f>
        <v>9.8684210526315784E-3</v>
      </c>
      <c r="L350" s="21">
        <f>279/J350</f>
        <v>0.22944078947368421</v>
      </c>
      <c r="M350" s="21">
        <f>244/J350</f>
        <v>0.20065789473684212</v>
      </c>
      <c r="N350" s="21">
        <f>427/J350</f>
        <v>0.35115131578947367</v>
      </c>
      <c r="O350" s="21">
        <f>254/J350</f>
        <v>0.20888157894736842</v>
      </c>
    </row>
    <row r="351" spans="3:22" s="13" customFormat="1" ht="6" customHeight="1" x14ac:dyDescent="0.25">
      <c r="C351" s="28"/>
      <c r="D351" s="29"/>
      <c r="E351" s="29"/>
      <c r="F351" s="29"/>
      <c r="G351" s="31"/>
      <c r="H351" s="31"/>
      <c r="I351" s="30"/>
      <c r="J351" s="30"/>
      <c r="K351" s="31"/>
      <c r="L351" s="31"/>
      <c r="M351" s="31"/>
      <c r="N351" s="30"/>
      <c r="O351" s="31"/>
      <c r="P351" s="2"/>
      <c r="Q351" s="2"/>
      <c r="R351" s="2"/>
      <c r="S351" s="2"/>
      <c r="T351" s="2"/>
      <c r="U351" s="2"/>
      <c r="V351" s="2"/>
    </row>
    <row r="354" spans="3:21" ht="18.75" customHeight="1" x14ac:dyDescent="0.25">
      <c r="C354" s="309"/>
      <c r="D354" s="312" t="s">
        <v>299</v>
      </c>
      <c r="E354" s="313"/>
      <c r="F354" s="313"/>
      <c r="G354" s="313"/>
      <c r="H354" s="313"/>
      <c r="I354" s="313"/>
      <c r="J354" s="313"/>
      <c r="K354" s="313"/>
      <c r="L354" s="313"/>
      <c r="M354" s="313"/>
      <c r="N354" s="313"/>
      <c r="O354" s="314"/>
      <c r="P354" s="5"/>
      <c r="Q354" s="5"/>
      <c r="R354" s="5"/>
    </row>
    <row r="355" spans="3:21" ht="18.75" customHeight="1" x14ac:dyDescent="0.25">
      <c r="C355" s="310"/>
      <c r="D355" s="323" t="s">
        <v>18</v>
      </c>
      <c r="E355" s="323" t="s">
        <v>195</v>
      </c>
      <c r="F355" s="312" t="s">
        <v>285</v>
      </c>
      <c r="G355" s="313"/>
      <c r="H355" s="313"/>
      <c r="I355" s="314"/>
      <c r="J355" s="312" t="s">
        <v>287</v>
      </c>
      <c r="K355" s="313"/>
      <c r="L355" s="313"/>
      <c r="M355" s="313"/>
      <c r="N355" s="313"/>
      <c r="O355" s="314"/>
      <c r="P355" s="5"/>
      <c r="Q355" s="5"/>
      <c r="R355" s="5"/>
    </row>
    <row r="356" spans="3:21" ht="18.75" customHeight="1" x14ac:dyDescent="0.25">
      <c r="C356" s="310"/>
      <c r="D356" s="324"/>
      <c r="E356" s="324"/>
      <c r="F356" s="315" t="s">
        <v>286</v>
      </c>
      <c r="G356" s="316"/>
      <c r="H356" s="316"/>
      <c r="I356" s="317"/>
      <c r="J356" s="315" t="s">
        <v>289</v>
      </c>
      <c r="K356" s="316"/>
      <c r="L356" s="316"/>
      <c r="M356" s="316"/>
      <c r="N356" s="316"/>
      <c r="O356" s="317"/>
      <c r="P356" s="5"/>
      <c r="Q356" s="5"/>
      <c r="R356" s="5"/>
    </row>
    <row r="357" spans="3:21" s="3" customFormat="1" ht="37.5" customHeight="1" thickBot="1" x14ac:dyDescent="0.3">
      <c r="C357" s="311"/>
      <c r="D357" s="325"/>
      <c r="E357" s="325"/>
      <c r="F357" s="71" t="s">
        <v>2</v>
      </c>
      <c r="G357" s="71" t="s">
        <v>195</v>
      </c>
      <c r="H357" s="71" t="s">
        <v>184</v>
      </c>
      <c r="I357" s="71" t="s">
        <v>21</v>
      </c>
      <c r="J357" s="71" t="s">
        <v>288</v>
      </c>
      <c r="K357" s="71" t="s">
        <v>195</v>
      </c>
      <c r="L357" s="71" t="s">
        <v>290</v>
      </c>
      <c r="M357" s="71" t="s">
        <v>291</v>
      </c>
      <c r="N357" s="71" t="s">
        <v>292</v>
      </c>
      <c r="O357" s="71" t="s">
        <v>293</v>
      </c>
      <c r="P357" s="2"/>
      <c r="Q357" s="2"/>
      <c r="R357" s="2"/>
    </row>
    <row r="358" spans="3:21" s="3" customFormat="1" ht="18.75" customHeight="1" thickBot="1" x14ac:dyDescent="0.3">
      <c r="C358" s="19" t="s">
        <v>14</v>
      </c>
      <c r="D358" s="62">
        <v>341</v>
      </c>
      <c r="E358" s="62">
        <v>24</v>
      </c>
      <c r="F358" s="20">
        <v>333</v>
      </c>
      <c r="G358" s="21">
        <f>1/F358</f>
        <v>3.003003003003003E-3</v>
      </c>
      <c r="H358" s="21">
        <f>65/F358</f>
        <v>0.19519519519519518</v>
      </c>
      <c r="I358" s="21">
        <f>267/F358</f>
        <v>0.80180180180180183</v>
      </c>
      <c r="J358" s="62">
        <v>1091</v>
      </c>
      <c r="K358" s="21">
        <f>6/J358</f>
        <v>5.4995417048579283E-3</v>
      </c>
      <c r="L358" s="21">
        <f>97/J358</f>
        <v>8.8909257561869848E-2</v>
      </c>
      <c r="M358" s="21">
        <f>226/J358</f>
        <v>0.20714940421631531</v>
      </c>
      <c r="N358" s="21">
        <f>378/J358</f>
        <v>0.34647112740604952</v>
      </c>
      <c r="O358" s="21">
        <f>384/J358</f>
        <v>0.35197066911090741</v>
      </c>
    </row>
    <row r="359" spans="3:21" s="13" customFormat="1" ht="6" customHeight="1" x14ac:dyDescent="0.25">
      <c r="C359" s="28"/>
      <c r="D359" s="31"/>
      <c r="E359" s="31"/>
      <c r="F359" s="29"/>
      <c r="G359" s="31"/>
      <c r="H359" s="31"/>
      <c r="I359" s="30"/>
      <c r="J359" s="30"/>
      <c r="K359" s="31"/>
      <c r="L359" s="31"/>
      <c r="M359" s="31"/>
      <c r="N359" s="30"/>
      <c r="O359" s="31"/>
      <c r="P359" s="2"/>
      <c r="Q359" s="2"/>
      <c r="R359" s="2"/>
      <c r="S359" s="2"/>
      <c r="T359" s="2"/>
      <c r="U359" s="2"/>
    </row>
  </sheetData>
  <mergeCells count="258">
    <mergeCell ref="C298:C300"/>
    <mergeCell ref="D202:Y202"/>
    <mergeCell ref="D203:K203"/>
    <mergeCell ref="L203:R203"/>
    <mergeCell ref="S203:Y203"/>
    <mergeCell ref="D194:D195"/>
    <mergeCell ref="E194:F194"/>
    <mergeCell ref="G194:H194"/>
    <mergeCell ref="I194:I195"/>
    <mergeCell ref="Q194:Q195"/>
    <mergeCell ref="R220:Y220"/>
    <mergeCell ref="T221:U221"/>
    <mergeCell ref="X221:Y221"/>
    <mergeCell ref="D211:D212"/>
    <mergeCell ref="E211:F211"/>
    <mergeCell ref="G211:H211"/>
    <mergeCell ref="E204:E205"/>
    <mergeCell ref="E259:E260"/>
    <mergeCell ref="D219:Y219"/>
    <mergeCell ref="D220:J220"/>
    <mergeCell ref="K220:Q220"/>
    <mergeCell ref="P221:Q221"/>
    <mergeCell ref="X204:Y204"/>
    <mergeCell ref="J204:K204"/>
    <mergeCell ref="C129:C130"/>
    <mergeCell ref="C152:C154"/>
    <mergeCell ref="C159:C161"/>
    <mergeCell ref="C243:C244"/>
    <mergeCell ref="C251:C252"/>
    <mergeCell ref="C259:C260"/>
    <mergeCell ref="C274:C277"/>
    <mergeCell ref="G299:G300"/>
    <mergeCell ref="C307:C309"/>
    <mergeCell ref="D209:W209"/>
    <mergeCell ref="Q210:W210"/>
    <mergeCell ref="V204:V205"/>
    <mergeCell ref="W204:W205"/>
    <mergeCell ref="F204:G204"/>
    <mergeCell ref="N204:O204"/>
    <mergeCell ref="Q204:R204"/>
    <mergeCell ref="I210:P210"/>
    <mergeCell ref="S204:S205"/>
    <mergeCell ref="T204:U204"/>
    <mergeCell ref="D210:H210"/>
    <mergeCell ref="D204:D205"/>
    <mergeCell ref="H221:H222"/>
    <mergeCell ref="V221:V222"/>
    <mergeCell ref="W221:W222"/>
    <mergeCell ref="J347:O347"/>
    <mergeCell ref="J348:O348"/>
    <mergeCell ref="E347:E349"/>
    <mergeCell ref="D346:O346"/>
    <mergeCell ref="F347:I347"/>
    <mergeCell ref="D347:D349"/>
    <mergeCell ref="D316:H316"/>
    <mergeCell ref="F348:I348"/>
    <mergeCell ref="I221:J221"/>
    <mergeCell ref="D233:D234"/>
    <mergeCell ref="E233:F233"/>
    <mergeCell ref="D243:D244"/>
    <mergeCell ref="E243:F243"/>
    <mergeCell ref="D251:D252"/>
    <mergeCell ref="E251:F251"/>
    <mergeCell ref="D259:D260"/>
    <mergeCell ref="D286:D287"/>
    <mergeCell ref="D298:G298"/>
    <mergeCell ref="H298:K298"/>
    <mergeCell ref="D317:H317"/>
    <mergeCell ref="D318:D319"/>
    <mergeCell ref="E318:E319"/>
    <mergeCell ref="F318:H318"/>
    <mergeCell ref="L308:L309"/>
    <mergeCell ref="U211:U212"/>
    <mergeCell ref="J211:J212"/>
    <mergeCell ref="M211:M212"/>
    <mergeCell ref="N211:N212"/>
    <mergeCell ref="K211:L211"/>
    <mergeCell ref="O211:P211"/>
    <mergeCell ref="N221:N222"/>
    <mergeCell ref="O221:O222"/>
    <mergeCell ref="S221:S222"/>
    <mergeCell ref="M308:M309"/>
    <mergeCell ref="E221:F221"/>
    <mergeCell ref="K221:K222"/>
    <mergeCell ref="L221:M221"/>
    <mergeCell ref="G221:G222"/>
    <mergeCell ref="D14:F15"/>
    <mergeCell ref="G14:J15"/>
    <mergeCell ref="D33:D35"/>
    <mergeCell ref="F33:F35"/>
    <mergeCell ref="G33:H33"/>
    <mergeCell ref="I33:J33"/>
    <mergeCell ref="J34:J35"/>
    <mergeCell ref="G34:G35"/>
    <mergeCell ref="D49:F49"/>
    <mergeCell ref="G49:M49"/>
    <mergeCell ref="D24:D25"/>
    <mergeCell ref="E24:F24"/>
    <mergeCell ref="D16:D17"/>
    <mergeCell ref="E16:E17"/>
    <mergeCell ref="F16:F17"/>
    <mergeCell ref="G16:H16"/>
    <mergeCell ref="I16:J16"/>
    <mergeCell ref="D153:G153"/>
    <mergeCell ref="H153:K153"/>
    <mergeCell ref="L153:O153"/>
    <mergeCell ref="P153:S153"/>
    <mergeCell ref="J259:K259"/>
    <mergeCell ref="L259:M259"/>
    <mergeCell ref="N259:O259"/>
    <mergeCell ref="P259:Q259"/>
    <mergeCell ref="R259:S259"/>
    <mergeCell ref="H259:I259"/>
    <mergeCell ref="R221:R222"/>
    <mergeCell ref="Q211:Q212"/>
    <mergeCell ref="R211:S211"/>
    <mergeCell ref="K194:L194"/>
    <mergeCell ref="P193:W193"/>
    <mergeCell ref="H171:K171"/>
    <mergeCell ref="L171:O171"/>
    <mergeCell ref="P194:P195"/>
    <mergeCell ref="T194:T195"/>
    <mergeCell ref="U194:U195"/>
    <mergeCell ref="N194:O194"/>
    <mergeCell ref="R194:S194"/>
    <mergeCell ref="V194:W194"/>
    <mergeCell ref="I211:I212"/>
    <mergeCell ref="H204:H205"/>
    <mergeCell ref="T211:T212"/>
    <mergeCell ref="G184:G185"/>
    <mergeCell ref="H184:H185"/>
    <mergeCell ref="I184:J184"/>
    <mergeCell ref="D193:H193"/>
    <mergeCell ref="D184:D185"/>
    <mergeCell ref="E184:F184"/>
    <mergeCell ref="K184:K185"/>
    <mergeCell ref="L184:M184"/>
    <mergeCell ref="N184:O184"/>
    <mergeCell ref="O129:P129"/>
    <mergeCell ref="Q129:R129"/>
    <mergeCell ref="S129:T129"/>
    <mergeCell ref="D137:R137"/>
    <mergeCell ref="D105:G105"/>
    <mergeCell ref="H105:P105"/>
    <mergeCell ref="I75:J75"/>
    <mergeCell ref="I204:I205"/>
    <mergeCell ref="M194:M195"/>
    <mergeCell ref="P171:S171"/>
    <mergeCell ref="K129:L129"/>
    <mergeCell ref="M129:N129"/>
    <mergeCell ref="E129:F129"/>
    <mergeCell ref="D129:D130"/>
    <mergeCell ref="L204:L205"/>
    <mergeCell ref="D182:O182"/>
    <mergeCell ref="D183:J183"/>
    <mergeCell ref="D152:S152"/>
    <mergeCell ref="P160:S160"/>
    <mergeCell ref="D159:S159"/>
    <mergeCell ref="D169:W169"/>
    <mergeCell ref="D160:G160"/>
    <mergeCell ref="H160:K160"/>
    <mergeCell ref="L160:O160"/>
    <mergeCell ref="B2:P2"/>
    <mergeCell ref="E33:E35"/>
    <mergeCell ref="D32:J32"/>
    <mergeCell ref="I286:J286"/>
    <mergeCell ref="F259:G259"/>
    <mergeCell ref="C121:C122"/>
    <mergeCell ref="D121:K121"/>
    <mergeCell ref="D75:D76"/>
    <mergeCell ref="E75:F75"/>
    <mergeCell ref="G75:H75"/>
    <mergeCell ref="C32:C35"/>
    <mergeCell ref="G24:H24"/>
    <mergeCell ref="I24:J24"/>
    <mergeCell ref="H34:H35"/>
    <mergeCell ref="I34:I35"/>
    <mergeCell ref="D57:Q57"/>
    <mergeCell ref="C49:C50"/>
    <mergeCell ref="C57:C58"/>
    <mergeCell ref="C24:C25"/>
    <mergeCell ref="G129:H129"/>
    <mergeCell ref="K183:O183"/>
    <mergeCell ref="M204:M205"/>
    <mergeCell ref="P204:P205"/>
    <mergeCell ref="J194:J195"/>
    <mergeCell ref="I129:J129"/>
    <mergeCell ref="T259:U259"/>
    <mergeCell ref="V259:W259"/>
    <mergeCell ref="X259:Y259"/>
    <mergeCell ref="Z259:AA259"/>
    <mergeCell ref="D275:S275"/>
    <mergeCell ref="D276:G276"/>
    <mergeCell ref="H276:K276"/>
    <mergeCell ref="L276:O276"/>
    <mergeCell ref="P276:S276"/>
    <mergeCell ref="T269:W269"/>
    <mergeCell ref="P269:S269"/>
    <mergeCell ref="L269:O269"/>
    <mergeCell ref="D268:W268"/>
    <mergeCell ref="D267:W267"/>
    <mergeCell ref="D221:D222"/>
    <mergeCell ref="G243:H243"/>
    <mergeCell ref="I251:J251"/>
    <mergeCell ref="K251:L251"/>
    <mergeCell ref="T171:W171"/>
    <mergeCell ref="V211:W211"/>
    <mergeCell ref="D192:W192"/>
    <mergeCell ref="I193:O193"/>
    <mergeCell ref="D171:G171"/>
    <mergeCell ref="C75:C76"/>
    <mergeCell ref="C169:C172"/>
    <mergeCell ref="C285:C287"/>
    <mergeCell ref="D308:D309"/>
    <mergeCell ref="E308:E309"/>
    <mergeCell ref="F308:F309"/>
    <mergeCell ref="G308:K308"/>
    <mergeCell ref="D307:K307"/>
    <mergeCell ref="L307:O307"/>
    <mergeCell ref="D269:G269"/>
    <mergeCell ref="H269:K269"/>
    <mergeCell ref="D274:S274"/>
    <mergeCell ref="D232:H232"/>
    <mergeCell ref="C232:C234"/>
    <mergeCell ref="G233:H233"/>
    <mergeCell ref="I243:J243"/>
    <mergeCell ref="K243:L243"/>
    <mergeCell ref="D170:W170"/>
    <mergeCell ref="M251:N251"/>
    <mergeCell ref="U129:V129"/>
    <mergeCell ref="C143:C144"/>
    <mergeCell ref="D143:P143"/>
    <mergeCell ref="C105:C106"/>
    <mergeCell ref="C137:C138"/>
    <mergeCell ref="C354:C357"/>
    <mergeCell ref="J355:O355"/>
    <mergeCell ref="J356:O356"/>
    <mergeCell ref="C267:C270"/>
    <mergeCell ref="C346:C349"/>
    <mergeCell ref="G286:H286"/>
    <mergeCell ref="K286:L286"/>
    <mergeCell ref="D355:D357"/>
    <mergeCell ref="E355:E357"/>
    <mergeCell ref="D354:O354"/>
    <mergeCell ref="F355:I355"/>
    <mergeCell ref="F356:I356"/>
    <mergeCell ref="C316:C319"/>
    <mergeCell ref="E285:L285"/>
    <mergeCell ref="E286:F286"/>
    <mergeCell ref="N308:N309"/>
    <mergeCell ref="O308:O309"/>
    <mergeCell ref="H299:H300"/>
    <mergeCell ref="J299:J300"/>
    <mergeCell ref="K299:K300"/>
    <mergeCell ref="D299:D300"/>
    <mergeCell ref="F299:F300"/>
    <mergeCell ref="E299:E300"/>
    <mergeCell ref="I299:I30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8"/>
  <sheetViews>
    <sheetView showGridLines="0" topLeftCell="A898" zoomScale="85" zoomScaleNormal="85" workbookViewId="0">
      <selection activeCell="P10" sqref="P10"/>
    </sheetView>
  </sheetViews>
  <sheetFormatPr baseColWidth="10" defaultColWidth="9.140625" defaultRowHeight="15" x14ac:dyDescent="0.25"/>
  <cols>
    <col min="1" max="1" width="4.7109375" style="113" customWidth="1"/>
    <col min="2" max="2" width="4" style="234" customWidth="1"/>
    <col min="3" max="4" width="9.140625" style="234"/>
    <col min="5" max="5" width="9.42578125" style="234" bestFit="1" customWidth="1"/>
    <col min="6" max="19" width="9.140625" style="234"/>
    <col min="20" max="20" width="9.140625" style="229"/>
    <col min="21" max="16384" width="9.140625" style="111"/>
  </cols>
  <sheetData>
    <row r="1" spans="1:20" s="1" customFormat="1" ht="18.75" customHeight="1" x14ac:dyDescent="0.25">
      <c r="A1" s="10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s="1" customFormat="1" ht="47.25" customHeight="1" x14ac:dyDescent="0.25">
      <c r="B2" s="304" t="str">
        <f>'Fitxa Tècnica'!B2:P2</f>
        <v>UNIVERSITAT POLITÈCNICA DE CATALUNYA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 s="1" customFormat="1" ht="18.75" customHeight="1" x14ac:dyDescent="0.25">
      <c r="A3" s="1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s="1" customFormat="1" ht="18.75" customHeight="1" x14ac:dyDescent="0.25">
      <c r="A4" s="10"/>
      <c r="B4" s="218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/>
      <c r="P4" s="218"/>
      <c r="Q4" s="218"/>
      <c r="R4" s="218"/>
      <c r="S4" s="218"/>
      <c r="T4" s="218"/>
    </row>
    <row r="5" spans="1:20" s="1" customFormat="1" ht="33.75" customHeight="1" thickBot="1" x14ac:dyDescent="0.3">
      <c r="A5" s="10"/>
      <c r="B5" s="221" t="s">
        <v>192</v>
      </c>
      <c r="C5" s="222"/>
      <c r="D5" s="222"/>
      <c r="E5" s="223"/>
      <c r="F5" s="223"/>
      <c r="G5" s="223"/>
      <c r="H5" s="223"/>
      <c r="I5" s="223"/>
      <c r="J5" s="220"/>
      <c r="K5" s="220"/>
      <c r="L5" s="218"/>
      <c r="M5" s="218"/>
      <c r="N5" s="218"/>
      <c r="O5" s="218"/>
      <c r="P5" s="218"/>
      <c r="Q5" s="218"/>
      <c r="R5" s="218"/>
      <c r="S5" s="218"/>
      <c r="T5" s="218"/>
    </row>
    <row r="6" spans="1:20" s="1" customFormat="1" ht="18.75" customHeight="1" x14ac:dyDescent="0.25">
      <c r="A6" s="10"/>
      <c r="B6" s="218"/>
      <c r="C6" s="219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s="1" customFormat="1" ht="18.75" customHeight="1" x14ac:dyDescent="0.25">
      <c r="A7" s="10"/>
      <c r="B7" s="218"/>
      <c r="C7" s="219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s="1" customFormat="1" ht="18.75" customHeight="1" x14ac:dyDescent="0.25">
      <c r="A8" s="10"/>
      <c r="B8" s="218"/>
      <c r="C8" s="219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</row>
    <row r="9" spans="1:20" ht="32.25" thickBot="1" x14ac:dyDescent="0.55000000000000004">
      <c r="B9" s="224" t="s">
        <v>202</v>
      </c>
      <c r="C9" s="225"/>
      <c r="D9" s="226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/>
      <c r="R9" s="228"/>
      <c r="S9" s="228"/>
    </row>
    <row r="10" spans="1:20" ht="31.5" x14ac:dyDescent="0.5">
      <c r="B10" s="230"/>
      <c r="C10" s="231"/>
      <c r="D10" s="232"/>
      <c r="E10" s="232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2" spans="1:20" ht="21" x14ac:dyDescent="0.25">
      <c r="C12" s="235" t="s">
        <v>310</v>
      </c>
    </row>
    <row r="14" spans="1:20" s="207" customFormat="1" x14ac:dyDescent="0.25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</row>
    <row r="15" spans="1:20" s="207" customFormat="1" x14ac:dyDescent="0.25">
      <c r="B15" s="236"/>
      <c r="C15" s="236"/>
      <c r="D15" s="236"/>
      <c r="E15" s="237" t="str">
        <f>Taules!C18</f>
        <v>TOTAL UPC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</row>
    <row r="16" spans="1:20" s="207" customFormat="1" x14ac:dyDescent="0.25">
      <c r="B16" s="236"/>
      <c r="C16" s="385" t="str">
        <f>Taules!D16</f>
        <v>Població</v>
      </c>
      <c r="D16" s="385"/>
      <c r="E16" s="238">
        <f>Taules!D18</f>
        <v>3736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</row>
    <row r="17" spans="2:20" s="207" customFormat="1" x14ac:dyDescent="0.25">
      <c r="B17" s="236"/>
      <c r="C17" s="385" t="str">
        <f>Taules!E16</f>
        <v>Total Mostra</v>
      </c>
      <c r="D17" s="385"/>
      <c r="E17" s="239">
        <f>Taules!E18</f>
        <v>1789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</row>
    <row r="18" spans="2:20" s="207" customFormat="1" x14ac:dyDescent="0.25"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</row>
    <row r="19" spans="2:20" s="207" customFormat="1" x14ac:dyDescent="0.25"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</row>
    <row r="20" spans="2:20" s="207" customFormat="1" x14ac:dyDescent="0.25"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</row>
    <row r="21" spans="2:20" s="207" customFormat="1" x14ac:dyDescent="0.25"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</row>
    <row r="22" spans="2:20" s="207" customFormat="1" x14ac:dyDescent="0.25"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</row>
    <row r="23" spans="2:20" s="207" customFormat="1" x14ac:dyDescent="0.25"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</row>
    <row r="24" spans="2:20" s="207" customFormat="1" x14ac:dyDescent="0.25"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</row>
    <row r="25" spans="2:20" s="207" customFormat="1" x14ac:dyDescent="0.25"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</row>
    <row r="26" spans="2:20" s="207" customFormat="1" x14ac:dyDescent="0.25"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</row>
    <row r="33" spans="2:20" ht="21" x14ac:dyDescent="0.25">
      <c r="C33" s="235" t="s">
        <v>311</v>
      </c>
    </row>
    <row r="36" spans="2:20" s="207" customFormat="1" x14ac:dyDescent="0.25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</row>
    <row r="37" spans="2:20" s="207" customFormat="1" x14ac:dyDescent="0.25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</row>
    <row r="38" spans="2:20" s="207" customFormat="1" x14ac:dyDescent="0.25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</row>
    <row r="39" spans="2:20" s="207" customFormat="1" x14ac:dyDescent="0.25">
      <c r="B39" s="236"/>
      <c r="C39" s="236"/>
      <c r="D39" s="236"/>
      <c r="E39" s="385" t="s">
        <v>9</v>
      </c>
      <c r="F39" s="385"/>
      <c r="G39" s="385" t="s">
        <v>10</v>
      </c>
      <c r="H39" s="385"/>
      <c r="I39" s="236" t="s">
        <v>314</v>
      </c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</row>
    <row r="40" spans="2:20" s="207" customFormat="1" ht="30" x14ac:dyDescent="0.25">
      <c r="B40" s="236"/>
      <c r="C40" s="236"/>
      <c r="D40" s="236"/>
      <c r="E40" s="240" t="s">
        <v>2</v>
      </c>
      <c r="F40" s="240" t="s">
        <v>13</v>
      </c>
      <c r="G40" s="240" t="s">
        <v>2</v>
      </c>
      <c r="H40" s="240" t="s">
        <v>13</v>
      </c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</row>
    <row r="41" spans="2:20" s="207" customFormat="1" x14ac:dyDescent="0.25">
      <c r="B41" s="236"/>
      <c r="C41" s="236"/>
      <c r="D41" s="237" t="str">
        <f>Taules!C18</f>
        <v>TOTAL UPC</v>
      </c>
      <c r="E41" s="241">
        <f>Taules!G18</f>
        <v>486</v>
      </c>
      <c r="F41" s="242">
        <f>E41/I41</f>
        <v>0.27166014533258803</v>
      </c>
      <c r="G41" s="241">
        <f>Taules!I18</f>
        <v>1303</v>
      </c>
      <c r="H41" s="243">
        <f>G41/I41</f>
        <v>0.72833985466741191</v>
      </c>
      <c r="I41" s="236">
        <f>SUM(E41,G41)</f>
        <v>1789</v>
      </c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</row>
    <row r="42" spans="2:20" s="207" customFormat="1" x14ac:dyDescent="0.25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</row>
    <row r="43" spans="2:20" s="207" customFormat="1" x14ac:dyDescent="0.25">
      <c r="B43" s="236"/>
      <c r="C43" s="236"/>
      <c r="D43" s="236"/>
      <c r="E43" s="244"/>
      <c r="F43" s="244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</row>
    <row r="44" spans="2:20" s="207" customFormat="1" x14ac:dyDescent="0.25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</row>
    <row r="45" spans="2:20" s="207" customFormat="1" x14ac:dyDescent="0.25">
      <c r="B45" s="24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</row>
    <row r="46" spans="2:20" s="207" customFormat="1" x14ac:dyDescent="0.25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</row>
    <row r="47" spans="2:20" s="207" customFormat="1" x14ac:dyDescent="0.25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2:20" s="207" customFormat="1" x14ac:dyDescent="0.25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</row>
    <row r="49" spans="2:20" s="207" customFormat="1" x14ac:dyDescent="0.25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</row>
    <row r="50" spans="2:20" s="207" customFormat="1" x14ac:dyDescent="0.25"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</row>
    <row r="59" spans="2:20" ht="21" x14ac:dyDescent="0.25">
      <c r="C59" s="235" t="s">
        <v>15</v>
      </c>
    </row>
    <row r="61" spans="2:20" s="207" customFormat="1" x14ac:dyDescent="0.25"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</row>
    <row r="62" spans="2:20" s="207" customFormat="1" x14ac:dyDescent="0.25">
      <c r="B62" s="236"/>
      <c r="C62" s="236"/>
      <c r="D62" s="384"/>
      <c r="E62" s="381" t="s">
        <v>2</v>
      </c>
      <c r="F62" s="381" t="s">
        <v>16</v>
      </c>
      <c r="G62" s="381"/>
      <c r="H62" s="379" t="s">
        <v>17</v>
      </c>
      <c r="I62" s="379"/>
      <c r="J62" s="381" t="s">
        <v>18</v>
      </c>
      <c r="K62" s="381"/>
      <c r="L62" s="236"/>
      <c r="M62" s="236"/>
      <c r="N62" s="236"/>
      <c r="O62" s="236"/>
      <c r="P62" s="236"/>
      <c r="Q62" s="236"/>
      <c r="R62" s="236"/>
      <c r="S62" s="236"/>
      <c r="T62" s="236"/>
    </row>
    <row r="63" spans="2:20" s="207" customFormat="1" ht="30" x14ac:dyDescent="0.25">
      <c r="B63" s="236"/>
      <c r="C63" s="236"/>
      <c r="D63" s="384"/>
      <c r="E63" s="381"/>
      <c r="F63" s="246" t="s">
        <v>2</v>
      </c>
      <c r="G63" s="247" t="s">
        <v>13</v>
      </c>
      <c r="H63" s="246" t="s">
        <v>2</v>
      </c>
      <c r="I63" s="247" t="s">
        <v>13</v>
      </c>
      <c r="J63" s="246" t="s">
        <v>2</v>
      </c>
      <c r="K63" s="247" t="s">
        <v>13</v>
      </c>
      <c r="L63" s="236"/>
      <c r="M63" s="236"/>
      <c r="N63" s="236"/>
      <c r="O63" s="236"/>
      <c r="P63" s="236"/>
      <c r="Q63" s="236"/>
      <c r="R63" s="236"/>
      <c r="S63" s="236"/>
      <c r="T63" s="236"/>
    </row>
    <row r="64" spans="2:20" s="207" customFormat="1" x14ac:dyDescent="0.25">
      <c r="B64" s="236"/>
      <c r="C64" s="236"/>
      <c r="D64" s="248" t="str">
        <f>Taules!C36</f>
        <v>TOTAL UPC</v>
      </c>
      <c r="E64" s="249">
        <f>Taules!D36</f>
        <v>1778</v>
      </c>
      <c r="F64" s="250">
        <f>Taules!E26</f>
        <v>1569</v>
      </c>
      <c r="G64" s="250">
        <f>Taules!F26</f>
        <v>0.87702627166014535</v>
      </c>
      <c r="H64" s="250">
        <f>Taules!G26</f>
        <v>209</v>
      </c>
      <c r="I64" s="250">
        <f>Taules!H26</f>
        <v>0.11682504192286193</v>
      </c>
      <c r="J64" s="250">
        <f>Taules!I26</f>
        <v>11</v>
      </c>
      <c r="K64" s="250">
        <f>Taules!J26</f>
        <v>6.1486864169927333E-3</v>
      </c>
      <c r="L64" s="236"/>
      <c r="M64" s="236"/>
      <c r="N64" s="236"/>
      <c r="O64" s="236"/>
      <c r="P64" s="236"/>
      <c r="Q64" s="236"/>
      <c r="R64" s="236"/>
      <c r="S64" s="236"/>
      <c r="T64" s="236"/>
    </row>
    <row r="65" spans="2:20" s="207" customFormat="1" x14ac:dyDescent="0.25">
      <c r="B65" s="236"/>
      <c r="C65" s="236"/>
      <c r="D65" s="236"/>
      <c r="E65" s="251"/>
      <c r="F65" s="251"/>
      <c r="G65" s="251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2:20" x14ac:dyDescent="0.25">
      <c r="E66" s="252"/>
      <c r="F66" s="252"/>
      <c r="G66" s="252"/>
    </row>
    <row r="85" spans="1:20" ht="32.25" thickBot="1" x14ac:dyDescent="0.55000000000000004">
      <c r="B85" s="224" t="s">
        <v>206</v>
      </c>
      <c r="C85" s="225"/>
      <c r="D85" s="226"/>
      <c r="E85" s="226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8"/>
      <c r="R85" s="228"/>
      <c r="S85" s="228"/>
    </row>
    <row r="88" spans="1:20" s="114" customFormat="1" ht="18.75" customHeight="1" x14ac:dyDescent="0.45">
      <c r="A88" s="112"/>
      <c r="B88" s="253" t="s">
        <v>240</v>
      </c>
      <c r="C88" s="254"/>
      <c r="D88" s="232"/>
      <c r="E88" s="232"/>
      <c r="F88" s="233"/>
      <c r="G88" s="233"/>
      <c r="H88" s="233"/>
      <c r="I88" s="233"/>
      <c r="J88" s="233"/>
      <c r="K88" s="233"/>
      <c r="L88" s="233"/>
      <c r="M88" s="233"/>
      <c r="N88" s="231"/>
      <c r="O88" s="231"/>
      <c r="P88" s="231"/>
      <c r="Q88" s="231"/>
      <c r="R88" s="231"/>
      <c r="S88" s="254"/>
      <c r="T88" s="231"/>
    </row>
    <row r="91" spans="1:20" ht="21" x14ac:dyDescent="0.25">
      <c r="C91" s="235" t="s">
        <v>242</v>
      </c>
    </row>
    <row r="94" spans="1:20" s="207" customFormat="1" x14ac:dyDescent="0.25">
      <c r="B94" s="236"/>
      <c r="C94" s="236"/>
      <c r="D94" s="236"/>
      <c r="E94" s="236"/>
      <c r="F94" s="236"/>
      <c r="G94" s="236"/>
      <c r="H94" s="255" t="s">
        <v>19</v>
      </c>
      <c r="I94" s="255"/>
      <c r="J94" s="387" t="s">
        <v>20</v>
      </c>
      <c r="K94" s="387"/>
      <c r="L94" s="387"/>
      <c r="M94" s="387"/>
      <c r="N94" s="387"/>
      <c r="O94" s="387"/>
      <c r="P94" s="236"/>
      <c r="Q94" s="236"/>
      <c r="R94" s="236"/>
      <c r="S94" s="236"/>
      <c r="T94" s="236"/>
    </row>
    <row r="95" spans="1:20" s="207" customFormat="1" x14ac:dyDescent="0.25">
      <c r="B95" s="236"/>
      <c r="C95" s="236"/>
      <c r="D95" s="236"/>
      <c r="E95" s="236"/>
      <c r="F95" s="236"/>
      <c r="G95" s="236"/>
      <c r="H95" s="236" t="s">
        <v>21</v>
      </c>
      <c r="I95" s="236" t="s">
        <v>22</v>
      </c>
      <c r="J95" s="236"/>
      <c r="K95" s="236" t="s">
        <v>23</v>
      </c>
      <c r="L95" s="236" t="s">
        <v>24</v>
      </c>
      <c r="M95" s="236" t="s">
        <v>25</v>
      </c>
      <c r="N95" s="236" t="s">
        <v>26</v>
      </c>
      <c r="O95" s="236" t="s">
        <v>27</v>
      </c>
      <c r="P95" s="236" t="s">
        <v>28</v>
      </c>
      <c r="Q95" s="236"/>
      <c r="R95" s="236"/>
      <c r="S95" s="236"/>
      <c r="T95" s="236"/>
    </row>
    <row r="96" spans="1:20" s="207" customFormat="1" x14ac:dyDescent="0.25">
      <c r="B96" s="236"/>
      <c r="C96" s="236"/>
      <c r="D96" s="236"/>
      <c r="E96" s="236"/>
      <c r="F96" s="236" t="str">
        <f>Taules!C51</f>
        <v>TOTAL UPC</v>
      </c>
      <c r="G96" s="236">
        <f>Taules!D51</f>
        <v>1778</v>
      </c>
      <c r="H96" s="236">
        <f>Taules!E51</f>
        <v>0.67660292463442073</v>
      </c>
      <c r="I96" s="236">
        <f>Taules!F51</f>
        <v>0.32339707536557932</v>
      </c>
      <c r="J96" s="236">
        <f>Taules!G51</f>
        <v>1778</v>
      </c>
      <c r="K96" s="236">
        <f>Taules!H51</f>
        <v>0.55961754780652417</v>
      </c>
      <c r="L96" s="236">
        <f>Taules!I51</f>
        <v>0.17604049493813273</v>
      </c>
      <c r="M96" s="236">
        <f>Taules!J51</f>
        <v>0.13779527559055119</v>
      </c>
      <c r="N96" s="236">
        <f>Taules!K51</f>
        <v>5.6805399325084362E-2</v>
      </c>
      <c r="O96" s="236">
        <f>Taules!L51</f>
        <v>2.0809898762654669E-2</v>
      </c>
      <c r="P96" s="243">
        <f>0/J96</f>
        <v>0</v>
      </c>
      <c r="Q96" s="236"/>
      <c r="R96" s="236"/>
      <c r="S96" s="236"/>
      <c r="T96" s="236"/>
    </row>
    <row r="97" spans="2:20" s="207" customFormat="1" x14ac:dyDescent="0.25">
      <c r="B97" s="236"/>
      <c r="C97" s="236"/>
      <c r="D97" s="236"/>
      <c r="E97" s="236"/>
      <c r="F97" s="236"/>
      <c r="G97" s="251"/>
      <c r="H97" s="251"/>
      <c r="I97" s="251"/>
      <c r="J97" s="251"/>
      <c r="K97" s="251"/>
      <c r="L97" s="251"/>
      <c r="M97" s="251"/>
      <c r="N97" s="251"/>
      <c r="O97" s="236"/>
      <c r="P97" s="236"/>
      <c r="Q97" s="236"/>
      <c r="R97" s="236"/>
      <c r="S97" s="236"/>
      <c r="T97" s="236"/>
    </row>
    <row r="98" spans="2:20" s="207" customFormat="1" ht="15" customHeight="1" x14ac:dyDescent="0.25"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</row>
    <row r="99" spans="2:20" s="207" customFormat="1" ht="15" customHeight="1" x14ac:dyDescent="0.25"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</row>
    <row r="100" spans="2:20" s="207" customFormat="1" x14ac:dyDescent="0.25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</row>
    <row r="101" spans="2:20" s="207" customFormat="1" x14ac:dyDescent="0.25">
      <c r="B101" s="236"/>
      <c r="C101" s="236"/>
      <c r="D101" s="236"/>
      <c r="E101" s="236"/>
      <c r="F101" s="236"/>
      <c r="G101" s="251"/>
      <c r="H101" s="251"/>
      <c r="I101" s="251"/>
      <c r="J101" s="251"/>
      <c r="K101" s="251"/>
      <c r="L101" s="251"/>
      <c r="M101" s="251"/>
      <c r="N101" s="251"/>
      <c r="O101" s="236"/>
      <c r="P101" s="236"/>
      <c r="Q101" s="236"/>
      <c r="R101" s="236"/>
      <c r="S101" s="236"/>
      <c r="T101" s="236"/>
    </row>
    <row r="102" spans="2:20" s="207" customFormat="1" x14ac:dyDescent="0.25"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</row>
    <row r="103" spans="2:20" s="207" customFormat="1" x14ac:dyDescent="0.25"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</row>
    <row r="104" spans="2:20" s="207" customFormat="1" x14ac:dyDescent="0.25"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</row>
    <row r="105" spans="2:20" s="207" customFormat="1" x14ac:dyDescent="0.25"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</row>
    <row r="106" spans="2:20" s="207" customFormat="1" x14ac:dyDescent="0.25"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</row>
    <row r="107" spans="2:20" s="207" customFormat="1" x14ac:dyDescent="0.25"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</row>
    <row r="108" spans="2:20" s="207" customFormat="1" x14ac:dyDescent="0.25"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</row>
    <row r="109" spans="2:20" s="207" customFormat="1" x14ac:dyDescent="0.25"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</row>
    <row r="110" spans="2:20" s="207" customFormat="1" x14ac:dyDescent="0.25"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</row>
    <row r="111" spans="2:20" s="207" customFormat="1" x14ac:dyDescent="0.25"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</row>
    <row r="117" spans="2:20" ht="15.75" customHeight="1" x14ac:dyDescent="0.25"/>
    <row r="118" spans="2:20" ht="15.75" customHeight="1" x14ac:dyDescent="0.25">
      <c r="C118" s="235" t="s">
        <v>241</v>
      </c>
    </row>
    <row r="119" spans="2:20" ht="15.75" customHeight="1" x14ac:dyDescent="0.25"/>
    <row r="120" spans="2:20" ht="15.75" customHeight="1" x14ac:dyDescent="0.25">
      <c r="S120" s="229"/>
      <c r="T120" s="234"/>
    </row>
    <row r="121" spans="2:20" ht="15.75" customHeight="1" x14ac:dyDescent="0.25">
      <c r="C121" s="256"/>
      <c r="D121" s="382" t="s">
        <v>29</v>
      </c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S121" s="229"/>
      <c r="T121" s="234"/>
    </row>
    <row r="122" spans="2:20" s="207" customFormat="1" ht="15.75" customHeight="1" x14ac:dyDescent="0.25">
      <c r="B122" s="236"/>
      <c r="C122" s="257"/>
      <c r="D122" s="258" t="str">
        <f>Taules!D58</f>
        <v>Respostes</v>
      </c>
      <c r="E122" s="258" t="str">
        <f>Taules!E58</f>
        <v>NS/NC</v>
      </c>
      <c r="F122" s="258" t="str">
        <f>Taules!F58</f>
        <v>Contactes</v>
      </c>
      <c r="G122" s="258" t="str">
        <f>Taules!G58</f>
        <v>Premsa</v>
      </c>
      <c r="H122" s="258" t="str">
        <f>Taules!H58</f>
        <v>Oposicions</v>
      </c>
      <c r="I122" s="258" t="str">
        <f>Taules!I58</f>
        <v>SCC
INEM</v>
      </c>
      <c r="J122" s="258" t="str">
        <f>Taules!J58</f>
        <v>Borsa de treball institucional</v>
      </c>
      <c r="K122" s="258" t="str">
        <f>Taules!K58</f>
        <v>Pròpia empresa</v>
      </c>
      <c r="L122" s="258" t="str">
        <f>Taules!L58</f>
        <v>Pràctiques
d'estudis</v>
      </c>
      <c r="M122" s="258" t="str">
        <f>Taules!M58</f>
        <v>Serveis
Universitat</v>
      </c>
      <c r="N122" s="258" t="str">
        <f>Taules!N58</f>
        <v>ETT</v>
      </c>
      <c r="O122" s="258" t="str">
        <f>Taules!O58</f>
        <v>Empreses
de selecció</v>
      </c>
      <c r="P122" s="258" t="str">
        <f>Taules!P58</f>
        <v>Internet</v>
      </c>
      <c r="Q122" s="258" t="str">
        <f>Taules!Q58</f>
        <v>Altres</v>
      </c>
      <c r="R122" s="236"/>
      <c r="S122" s="236"/>
      <c r="T122" s="236"/>
    </row>
    <row r="123" spans="2:20" s="207" customFormat="1" ht="15.75" customHeight="1" x14ac:dyDescent="0.25">
      <c r="B123" s="236"/>
      <c r="C123" s="248" t="str">
        <f>Taules!C59</f>
        <v>TOTAL UPC</v>
      </c>
      <c r="D123" s="248">
        <f>Taules!D59</f>
        <v>1778</v>
      </c>
      <c r="E123" s="259">
        <f>Taules!E59</f>
        <v>5.6242969628796406E-4</v>
      </c>
      <c r="F123" s="259">
        <f>Taules!F59</f>
        <v>0.31889763779527558</v>
      </c>
      <c r="G123" s="259">
        <f>Taules!G59</f>
        <v>2.9246344206974129E-2</v>
      </c>
      <c r="H123" s="259">
        <f>Taules!H59</f>
        <v>5.6242969628796397E-3</v>
      </c>
      <c r="I123" s="259">
        <f>Taules!I59</f>
        <v>2.2497187851518562E-3</v>
      </c>
      <c r="J123" s="259">
        <f>Taules!J59</f>
        <v>2.6434195725534307E-2</v>
      </c>
      <c r="K123" s="259">
        <f>Taules!K59</f>
        <v>1.1811023622047244E-2</v>
      </c>
      <c r="L123" s="259">
        <f>Taules!L59</f>
        <v>0.10461192350956131</v>
      </c>
      <c r="M123" s="259">
        <f>Taules!M59</f>
        <v>0.18278965129358829</v>
      </c>
      <c r="N123" s="259">
        <f>Taules!N59</f>
        <v>8.9988751406074249E-3</v>
      </c>
      <c r="O123" s="259">
        <f>Taules!O59</f>
        <v>2.8121484814398199E-3</v>
      </c>
      <c r="P123" s="259">
        <f>Taules!P59</f>
        <v>0.24634420697412823</v>
      </c>
      <c r="Q123" s="259">
        <f>Taules!Q59</f>
        <v>5.9617547806524188E-2</v>
      </c>
      <c r="R123" s="236"/>
      <c r="S123" s="236"/>
      <c r="T123" s="236"/>
    </row>
    <row r="124" spans="2:20" s="207" customFormat="1" ht="15.75" customHeight="1" x14ac:dyDescent="0.25">
      <c r="B124" s="236"/>
      <c r="C124" s="236"/>
      <c r="D124" s="236"/>
      <c r="E124" s="251"/>
      <c r="F124" s="251"/>
      <c r="G124" s="251"/>
      <c r="H124" s="251"/>
      <c r="I124" s="251"/>
      <c r="J124" s="251"/>
      <c r="K124" s="251"/>
      <c r="L124" s="236"/>
      <c r="M124" s="236"/>
      <c r="N124" s="236"/>
      <c r="O124" s="236"/>
      <c r="P124" s="236"/>
      <c r="Q124" s="236"/>
      <c r="R124" s="236"/>
      <c r="S124" s="236"/>
      <c r="T124" s="236"/>
    </row>
    <row r="125" spans="2:20" s="207" customFormat="1" ht="15.75" customHeight="1" x14ac:dyDescent="0.25">
      <c r="B125" s="236"/>
      <c r="C125" s="236"/>
      <c r="D125" s="236"/>
      <c r="E125" s="251"/>
      <c r="F125" s="251"/>
      <c r="G125" s="251"/>
      <c r="H125" s="251"/>
      <c r="I125" s="251"/>
      <c r="J125" s="251"/>
      <c r="K125" s="251"/>
      <c r="L125" s="236"/>
      <c r="M125" s="236"/>
      <c r="N125" s="236"/>
      <c r="O125" s="236"/>
      <c r="P125" s="236"/>
      <c r="Q125" s="236"/>
      <c r="R125" s="236"/>
      <c r="S125" s="236"/>
      <c r="T125" s="236"/>
    </row>
    <row r="126" spans="2:20" s="207" customFormat="1" ht="15.75" customHeight="1" x14ac:dyDescent="0.25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</row>
    <row r="127" spans="2:20" s="207" customFormat="1" ht="15.75" customHeight="1" x14ac:dyDescent="0.25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</row>
    <row r="128" spans="2:20" s="207" customFormat="1" ht="15.75" customHeight="1" x14ac:dyDescent="0.25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</row>
    <row r="129" spans="2:20" s="207" customFormat="1" ht="15.75" customHeight="1" x14ac:dyDescent="0.25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</row>
    <row r="130" spans="2:20" s="207" customFormat="1" ht="15.75" customHeight="1" x14ac:dyDescent="0.25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</row>
    <row r="131" spans="2:20" s="207" customFormat="1" ht="15.75" customHeight="1" x14ac:dyDescent="0.25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</row>
    <row r="132" spans="2:20" s="207" customFormat="1" ht="15.75" customHeight="1" x14ac:dyDescent="0.25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</row>
    <row r="133" spans="2:20" s="207" customFormat="1" ht="15.75" customHeight="1" x14ac:dyDescent="0.25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</row>
    <row r="134" spans="2:20" s="207" customFormat="1" ht="15.75" customHeight="1" x14ac:dyDescent="0.25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</row>
    <row r="135" spans="2:20" s="207" customFormat="1" ht="15.75" customHeight="1" x14ac:dyDescent="0.25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</row>
    <row r="136" spans="2:20" s="207" customFormat="1" ht="15.75" customHeight="1" x14ac:dyDescent="0.25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</row>
    <row r="137" spans="2:20" s="207" customFormat="1" ht="15.75" customHeight="1" x14ac:dyDescent="0.25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</row>
    <row r="138" spans="2:20" ht="15.75" customHeight="1" x14ac:dyDescent="0.25"/>
    <row r="139" spans="2:20" ht="15.75" customHeight="1" x14ac:dyDescent="0.25"/>
    <row r="140" spans="2:20" ht="15.75" customHeight="1" x14ac:dyDescent="0.25"/>
    <row r="141" spans="2:20" ht="15.75" customHeight="1" x14ac:dyDescent="0.25"/>
    <row r="142" spans="2:20" ht="23.25" x14ac:dyDescent="0.35">
      <c r="B142" s="253" t="s">
        <v>243</v>
      </c>
      <c r="C142" s="260"/>
    </row>
    <row r="144" spans="2:20" ht="21" x14ac:dyDescent="0.25">
      <c r="C144" s="235" t="s">
        <v>244</v>
      </c>
    </row>
    <row r="146" spans="2:20" s="207" customFormat="1" x14ac:dyDescent="0.25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</row>
    <row r="147" spans="2:20" s="207" customFormat="1" x14ac:dyDescent="0.25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</row>
    <row r="148" spans="2:20" s="207" customFormat="1" x14ac:dyDescent="0.25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</row>
    <row r="149" spans="2:20" s="207" customFormat="1" x14ac:dyDescent="0.25">
      <c r="B149" s="236"/>
      <c r="C149" s="236"/>
      <c r="D149" s="236"/>
      <c r="E149" s="384"/>
      <c r="F149" s="379" t="s">
        <v>2</v>
      </c>
      <c r="G149" s="379" t="s">
        <v>53</v>
      </c>
      <c r="H149" s="379"/>
      <c r="I149" s="379" t="s">
        <v>54</v>
      </c>
      <c r="J149" s="379"/>
      <c r="K149" s="379" t="s">
        <v>55</v>
      </c>
      <c r="L149" s="379"/>
      <c r="M149" s="236"/>
      <c r="N149" s="236"/>
      <c r="O149" s="236"/>
      <c r="P149" s="236"/>
      <c r="Q149" s="236"/>
      <c r="R149" s="236"/>
      <c r="S149" s="236"/>
      <c r="T149" s="236"/>
    </row>
    <row r="150" spans="2:20" s="207" customFormat="1" ht="38.25" x14ac:dyDescent="0.25">
      <c r="B150" s="236"/>
      <c r="C150" s="236"/>
      <c r="D150" s="236"/>
      <c r="E150" s="384"/>
      <c r="F150" s="379"/>
      <c r="G150" s="261" t="s">
        <v>64</v>
      </c>
      <c r="H150" s="261" t="s">
        <v>65</v>
      </c>
      <c r="I150" s="261" t="s">
        <v>64</v>
      </c>
      <c r="J150" s="261" t="s">
        <v>65</v>
      </c>
      <c r="K150" s="261" t="s">
        <v>66</v>
      </c>
      <c r="L150" s="261" t="s">
        <v>67</v>
      </c>
      <c r="M150" s="236"/>
      <c r="N150" s="236"/>
      <c r="O150" s="236"/>
      <c r="P150" s="236"/>
      <c r="Q150" s="236"/>
      <c r="R150" s="236"/>
      <c r="S150" s="236"/>
      <c r="T150" s="236"/>
    </row>
    <row r="151" spans="2:20" s="207" customFormat="1" x14ac:dyDescent="0.25">
      <c r="B151" s="236"/>
      <c r="C151" s="236"/>
      <c r="D151" s="236"/>
      <c r="E151" s="248" t="str">
        <f>Taules!C77</f>
        <v>TOTAL UPC</v>
      </c>
      <c r="F151" s="248">
        <f>Taules!D77</f>
        <v>1778</v>
      </c>
      <c r="G151" s="262">
        <f>Taules!E77</f>
        <v>0.60517435320584922</v>
      </c>
      <c r="H151" s="262">
        <f>Taules!F77</f>
        <v>6.7491563554555684E-2</v>
      </c>
      <c r="I151" s="262">
        <f>Taules!G77</f>
        <v>0.13835770528683913</v>
      </c>
      <c r="J151" s="262">
        <f>Taules!H77</f>
        <v>3.3183352080989874E-2</v>
      </c>
      <c r="K151" s="262">
        <f>Taules!I77</f>
        <v>7.536557930258718E-2</v>
      </c>
      <c r="L151" s="262">
        <f>Taules!J77</f>
        <v>8.0427446569178856E-2</v>
      </c>
      <c r="M151" s="236"/>
      <c r="N151" s="236"/>
      <c r="O151" s="236"/>
      <c r="P151" s="236"/>
      <c r="Q151" s="236"/>
      <c r="R151" s="236"/>
      <c r="S151" s="236"/>
      <c r="T151" s="236"/>
    </row>
    <row r="152" spans="2:20" s="207" customFormat="1" x14ac:dyDescent="0.25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</row>
    <row r="153" spans="2:20" s="207" customFormat="1" x14ac:dyDescent="0.25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</row>
    <row r="154" spans="2:20" s="207" customFormat="1" x14ac:dyDescent="0.25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</row>
    <row r="155" spans="2:20" s="207" customFormat="1" x14ac:dyDescent="0.25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</row>
    <row r="156" spans="2:20" s="207" customFormat="1" x14ac:dyDescent="0.25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</row>
    <row r="157" spans="2:20" s="207" customFormat="1" x14ac:dyDescent="0.25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</row>
    <row r="158" spans="2:20" s="207" customFormat="1" x14ac:dyDescent="0.25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</row>
    <row r="159" spans="2:20" s="207" customFormat="1" x14ac:dyDescent="0.25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</row>
    <row r="160" spans="2:20" s="207" customFormat="1" x14ac:dyDescent="0.25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</row>
    <row r="161" spans="2:20" s="207" customFormat="1" x14ac:dyDescent="0.25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</row>
    <row r="162" spans="2:20" s="207" customFormat="1" x14ac:dyDescent="0.25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</row>
    <row r="163" spans="2:20" s="207" customFormat="1" x14ac:dyDescent="0.25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</row>
    <row r="164" spans="2:20" s="207" customFormat="1" x14ac:dyDescent="0.25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</row>
    <row r="165" spans="2:20" s="207" customFormat="1" x14ac:dyDescent="0.25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</row>
    <row r="166" spans="2:20" s="207" customFormat="1" x14ac:dyDescent="0.25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</row>
    <row r="167" spans="2:20" s="207" customFormat="1" x14ac:dyDescent="0.25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</row>
    <row r="168" spans="2:20" s="207" customFormat="1" x14ac:dyDescent="0.25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</row>
    <row r="169" spans="2:20" s="207" customFormat="1" x14ac:dyDescent="0.25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</row>
    <row r="170" spans="2:20" s="207" customFormat="1" x14ac:dyDescent="0.25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</row>
    <row r="176" spans="2:20" ht="21" x14ac:dyDescent="0.25">
      <c r="C176" s="235" t="s">
        <v>245</v>
      </c>
    </row>
    <row r="177" spans="2:20" ht="21" x14ac:dyDescent="0.25">
      <c r="C177" s="235"/>
    </row>
    <row r="178" spans="2:20" s="207" customFormat="1" ht="21" x14ac:dyDescent="0.25">
      <c r="B178" s="236"/>
      <c r="C178" s="263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</row>
    <row r="179" spans="2:20" s="207" customFormat="1" x14ac:dyDescent="0.25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</row>
    <row r="180" spans="2:20" s="207" customFormat="1" ht="25.5" x14ac:dyDescent="0.25">
      <c r="B180" s="236"/>
      <c r="C180" s="236"/>
      <c r="D180" s="257"/>
      <c r="E180" s="258" t="s">
        <v>2</v>
      </c>
      <c r="F180" s="258" t="s">
        <v>195</v>
      </c>
      <c r="G180" s="258" t="s">
        <v>46</v>
      </c>
      <c r="H180" s="258" t="s">
        <v>47</v>
      </c>
      <c r="I180" s="258" t="s">
        <v>48</v>
      </c>
      <c r="J180" s="258" t="s">
        <v>49</v>
      </c>
      <c r="K180" s="258" t="s">
        <v>50</v>
      </c>
      <c r="L180" s="236"/>
      <c r="M180" s="236"/>
      <c r="N180" s="236"/>
      <c r="O180" s="236"/>
      <c r="P180" s="236"/>
      <c r="Q180" s="236"/>
      <c r="R180" s="236"/>
      <c r="S180" s="236"/>
      <c r="T180" s="236"/>
    </row>
    <row r="181" spans="2:20" s="207" customFormat="1" x14ac:dyDescent="0.25">
      <c r="B181" s="236"/>
      <c r="C181" s="236"/>
      <c r="D181" s="248" t="str">
        <f>Taules!C84</f>
        <v>TOTAL UPC</v>
      </c>
      <c r="E181" s="248">
        <f>Taules!D84</f>
        <v>1778</v>
      </c>
      <c r="F181" s="264">
        <f>Taules!E84</f>
        <v>1.1248593925759281E-3</v>
      </c>
      <c r="G181" s="264">
        <f>Taules!F84</f>
        <v>0.63442069741282336</v>
      </c>
      <c r="H181" s="264">
        <f>Taules!G84</f>
        <v>9.6737907761529809E-2</v>
      </c>
      <c r="I181" s="264">
        <f>Taules!H84</f>
        <v>0.2283464566929134</v>
      </c>
      <c r="J181" s="264">
        <f>Taules!I84</f>
        <v>3.5433070866141732E-2</v>
      </c>
      <c r="K181" s="264">
        <f>Taules!J84</f>
        <v>3.937007874015748E-3</v>
      </c>
      <c r="L181" s="236"/>
      <c r="M181" s="236"/>
      <c r="N181" s="236"/>
      <c r="O181" s="236"/>
      <c r="P181" s="236"/>
      <c r="Q181" s="236"/>
      <c r="R181" s="236"/>
      <c r="S181" s="236"/>
      <c r="T181" s="236"/>
    </row>
    <row r="182" spans="2:20" s="207" customFormat="1" x14ac:dyDescent="0.25"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</row>
    <row r="183" spans="2:20" s="207" customFormat="1" x14ac:dyDescent="0.25"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</row>
    <row r="184" spans="2:20" s="207" customFormat="1" x14ac:dyDescent="0.25"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</row>
    <row r="185" spans="2:20" s="207" customFormat="1" x14ac:dyDescent="0.25"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</row>
    <row r="186" spans="2:20" s="207" customFormat="1" x14ac:dyDescent="0.25"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</row>
    <row r="187" spans="2:20" s="207" customFormat="1" x14ac:dyDescent="0.25"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</row>
    <row r="188" spans="2:20" s="207" customFormat="1" x14ac:dyDescent="0.25"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</row>
    <row r="189" spans="2:20" s="207" customFormat="1" x14ac:dyDescent="0.25"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</row>
    <row r="190" spans="2:20" s="207" customFormat="1" x14ac:dyDescent="0.25"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</row>
    <row r="191" spans="2:20" s="207" customFormat="1" x14ac:dyDescent="0.25"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</row>
    <row r="192" spans="2:20" s="207" customFormat="1" x14ac:dyDescent="0.25"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</row>
    <row r="193" spans="2:20" s="207" customFormat="1" x14ac:dyDescent="0.25"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</row>
    <row r="194" spans="2:20" s="207" customFormat="1" x14ac:dyDescent="0.25"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</row>
    <row r="195" spans="2:20" s="207" customFormat="1" x14ac:dyDescent="0.25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</row>
    <row r="196" spans="2:20" s="207" customFormat="1" x14ac:dyDescent="0.25"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</row>
    <row r="197" spans="2:20" s="207" customFormat="1" x14ac:dyDescent="0.25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</row>
    <row r="198" spans="2:20" s="207" customFormat="1" x14ac:dyDescent="0.25"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</row>
    <row r="199" spans="2:20" s="207" customFormat="1" x14ac:dyDescent="0.25"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</row>
    <row r="206" spans="2:20" ht="21" x14ac:dyDescent="0.25">
      <c r="C206" s="235" t="s">
        <v>315</v>
      </c>
    </row>
    <row r="209" spans="2:20" s="207" customFormat="1" x14ac:dyDescent="0.25"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</row>
    <row r="210" spans="2:20" s="207" customFormat="1" ht="25.5" x14ac:dyDescent="0.25">
      <c r="B210" s="236"/>
      <c r="C210" s="236"/>
      <c r="D210" s="257"/>
      <c r="E210" s="258" t="s">
        <v>2</v>
      </c>
      <c r="F210" s="258" t="s">
        <v>195</v>
      </c>
      <c r="G210" s="258" t="s">
        <v>380</v>
      </c>
      <c r="H210" s="258" t="s">
        <v>247</v>
      </c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</row>
    <row r="211" spans="2:20" s="207" customFormat="1" x14ac:dyDescent="0.25">
      <c r="B211" s="236"/>
      <c r="C211" s="236"/>
      <c r="D211" s="248" t="str">
        <f>Taules!C91</f>
        <v>TOTAL UPC</v>
      </c>
      <c r="E211" s="248">
        <f>Taules!D91</f>
        <v>1715</v>
      </c>
      <c r="F211" s="259">
        <f>Taules!E91</f>
        <v>5.8309037900874635E-4</v>
      </c>
      <c r="G211" s="259">
        <f>Taules!F91</f>
        <v>0.92419825072886297</v>
      </c>
      <c r="H211" s="259">
        <f>Taules!G91</f>
        <v>7.5218658892128282E-2</v>
      </c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</row>
    <row r="212" spans="2:20" s="207" customFormat="1" x14ac:dyDescent="0.25"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</row>
    <row r="213" spans="2:20" s="207" customFormat="1" x14ac:dyDescent="0.25"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</row>
    <row r="214" spans="2:20" s="207" customFormat="1" x14ac:dyDescent="0.25"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</row>
    <row r="215" spans="2:20" s="207" customFormat="1" x14ac:dyDescent="0.25"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</row>
    <row r="216" spans="2:20" s="207" customFormat="1" x14ac:dyDescent="0.25"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</row>
    <row r="217" spans="2:20" s="207" customFormat="1" x14ac:dyDescent="0.25"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  <c r="S217" s="236"/>
      <c r="T217" s="236"/>
    </row>
    <row r="218" spans="2:20" s="207" customFormat="1" x14ac:dyDescent="0.25"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6"/>
      <c r="T218" s="236"/>
    </row>
    <row r="219" spans="2:20" s="207" customFormat="1" x14ac:dyDescent="0.25"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</row>
    <row r="220" spans="2:20" s="207" customFormat="1" x14ac:dyDescent="0.25"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</row>
    <row r="221" spans="2:20" s="207" customFormat="1" x14ac:dyDescent="0.25"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</row>
    <row r="222" spans="2:20" s="207" customFormat="1" x14ac:dyDescent="0.25"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/>
      <c r="T222" s="236"/>
    </row>
    <row r="223" spans="2:20" s="207" customFormat="1" x14ac:dyDescent="0.25"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</row>
    <row r="224" spans="2:20" s="207" customFormat="1" x14ac:dyDescent="0.25"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</row>
    <row r="225" spans="2:20" s="207" customFormat="1" x14ac:dyDescent="0.25"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  <c r="Q225" s="236"/>
      <c r="R225" s="236"/>
      <c r="S225" s="236"/>
      <c r="T225" s="236"/>
    </row>
    <row r="226" spans="2:20" s="207" customFormat="1" x14ac:dyDescent="0.25"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  <c r="Q226" s="236"/>
      <c r="R226" s="236"/>
      <c r="S226" s="236"/>
      <c r="T226" s="236"/>
    </row>
    <row r="227" spans="2:20" s="207" customFormat="1" x14ac:dyDescent="0.25"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  <c r="Q227" s="236"/>
      <c r="R227" s="236"/>
      <c r="S227" s="236"/>
      <c r="T227" s="236"/>
    </row>
    <row r="228" spans="2:20" s="207" customFormat="1" x14ac:dyDescent="0.25"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</row>
    <row r="229" spans="2:20" s="207" customFormat="1" x14ac:dyDescent="0.25"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  <c r="N229" s="236"/>
      <c r="O229" s="236"/>
      <c r="P229" s="236"/>
      <c r="Q229" s="236"/>
      <c r="R229" s="236"/>
      <c r="S229" s="236"/>
      <c r="T229" s="236"/>
    </row>
    <row r="232" spans="2:20" ht="21" x14ac:dyDescent="0.25">
      <c r="C232" s="235" t="s">
        <v>248</v>
      </c>
    </row>
    <row r="233" spans="2:20" x14ac:dyDescent="0.25">
      <c r="C233" s="265" t="s">
        <v>301</v>
      </c>
    </row>
    <row r="235" spans="2:20" s="207" customFormat="1" x14ac:dyDescent="0.25"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6"/>
      <c r="S235" s="236"/>
      <c r="T235" s="236"/>
    </row>
    <row r="236" spans="2:20" s="207" customFormat="1" x14ac:dyDescent="0.25">
      <c r="B236" s="236"/>
      <c r="C236" s="236"/>
      <c r="D236" s="236"/>
      <c r="E236" s="257"/>
      <c r="F236" s="248" t="str">
        <f>Taules!C99</f>
        <v>TOTAL UPC</v>
      </c>
      <c r="G236" s="236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</row>
    <row r="237" spans="2:20" s="207" customFormat="1" x14ac:dyDescent="0.25">
      <c r="B237" s="236"/>
      <c r="C237" s="236"/>
      <c r="D237" s="236"/>
      <c r="E237" s="258" t="s">
        <v>2</v>
      </c>
      <c r="F237" s="241">
        <f>Taules!D99</f>
        <v>223</v>
      </c>
      <c r="G237" s="236"/>
      <c r="H237" s="236"/>
      <c r="I237" s="236"/>
      <c r="J237" s="236"/>
      <c r="K237" s="236"/>
      <c r="L237" s="236"/>
      <c r="M237" s="236"/>
      <c r="N237" s="236"/>
      <c r="O237" s="236"/>
      <c r="P237" s="236"/>
      <c r="Q237" s="236"/>
      <c r="R237" s="236"/>
      <c r="S237" s="236"/>
      <c r="T237" s="236"/>
    </row>
    <row r="238" spans="2:20" s="207" customFormat="1" x14ac:dyDescent="0.25">
      <c r="B238" s="236"/>
      <c r="C238" s="236"/>
      <c r="D238" s="236"/>
      <c r="E238" s="258" t="s">
        <v>195</v>
      </c>
      <c r="F238" s="243">
        <f>Taules!E99</f>
        <v>1.3452914798206279E-2</v>
      </c>
      <c r="G238" s="236"/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6"/>
      <c r="S238" s="236"/>
      <c r="T238" s="236"/>
    </row>
    <row r="239" spans="2:20" s="207" customFormat="1" ht="25.5" x14ac:dyDescent="0.25">
      <c r="B239" s="236"/>
      <c r="C239" s="236"/>
      <c r="D239" s="236"/>
      <c r="E239" s="258" t="s">
        <v>51</v>
      </c>
      <c r="F239" s="243">
        <f>Taules!F99</f>
        <v>0.24215246636771301</v>
      </c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</row>
    <row r="240" spans="2:20" s="207" customFormat="1" ht="38.25" x14ac:dyDescent="0.25">
      <c r="B240" s="236"/>
      <c r="C240" s="236"/>
      <c r="D240" s="236"/>
      <c r="E240" s="258" t="s">
        <v>52</v>
      </c>
      <c r="F240" s="243">
        <f>Taules!G99</f>
        <v>0.53363228699551568</v>
      </c>
      <c r="G240" s="236"/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36"/>
      <c r="S240" s="236"/>
      <c r="T240" s="236"/>
    </row>
    <row r="241" spans="2:20" s="207" customFormat="1" ht="25.5" x14ac:dyDescent="0.25">
      <c r="B241" s="236"/>
      <c r="C241" s="236"/>
      <c r="D241" s="236"/>
      <c r="E241" s="258" t="s">
        <v>337</v>
      </c>
      <c r="F241" s="243">
        <f>Taules!H99</f>
        <v>0.21076233183856502</v>
      </c>
      <c r="G241" s="236"/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6"/>
      <c r="S241" s="236"/>
      <c r="T241" s="236"/>
    </row>
    <row r="242" spans="2:20" s="207" customFormat="1" x14ac:dyDescent="0.25"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</row>
    <row r="243" spans="2:20" s="207" customFormat="1" x14ac:dyDescent="0.25"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36"/>
      <c r="S243" s="236"/>
      <c r="T243" s="236"/>
    </row>
    <row r="244" spans="2:20" s="207" customFormat="1" x14ac:dyDescent="0.25"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236"/>
    </row>
    <row r="245" spans="2:20" s="207" customFormat="1" x14ac:dyDescent="0.25"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236"/>
    </row>
    <row r="246" spans="2:20" s="207" customFormat="1" x14ac:dyDescent="0.25"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236"/>
    </row>
    <row r="247" spans="2:20" s="207" customFormat="1" x14ac:dyDescent="0.25">
      <c r="B247" s="236"/>
      <c r="C247" s="236"/>
      <c r="D247" s="236"/>
      <c r="E247" s="236"/>
      <c r="F247" s="236"/>
      <c r="G247" s="236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236"/>
    </row>
    <row r="248" spans="2:20" s="207" customFormat="1" x14ac:dyDescent="0.25"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</row>
    <row r="249" spans="2:20" s="207" customFormat="1" x14ac:dyDescent="0.25"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</row>
    <row r="250" spans="2:20" s="207" customFormat="1" x14ac:dyDescent="0.25">
      <c r="B250" s="236"/>
      <c r="C250" s="236"/>
      <c r="D250" s="236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6"/>
    </row>
    <row r="251" spans="2:20" s="207" customFormat="1" x14ac:dyDescent="0.25"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</row>
    <row r="252" spans="2:20" s="207" customFormat="1" x14ac:dyDescent="0.25"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236"/>
    </row>
    <row r="259" spans="2:20" ht="21" x14ac:dyDescent="0.25">
      <c r="C259" s="235" t="s">
        <v>249</v>
      </c>
    </row>
    <row r="261" spans="2:20" s="207" customFormat="1" x14ac:dyDescent="0.25"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236"/>
    </row>
    <row r="262" spans="2:20" s="207" customFormat="1" x14ac:dyDescent="0.25"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236"/>
    </row>
    <row r="263" spans="2:20" s="207" customFormat="1" x14ac:dyDescent="0.25">
      <c r="B263" s="236"/>
      <c r="C263" s="236"/>
      <c r="D263" s="380"/>
      <c r="E263" s="380"/>
      <c r="F263" s="26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236"/>
    </row>
    <row r="264" spans="2:20" s="207" customFormat="1" x14ac:dyDescent="0.25">
      <c r="B264" s="236"/>
      <c r="C264" s="236"/>
      <c r="D264" s="378"/>
      <c r="E264" s="258"/>
      <c r="F264" s="241">
        <f>Taules!C105</f>
        <v>0</v>
      </c>
      <c r="G264" s="241" t="str">
        <f>Taules!D105</f>
        <v>Àmbit (%)</v>
      </c>
      <c r="H264" s="241">
        <f>Taules!E105</f>
        <v>0</v>
      </c>
      <c r="I264" s="241">
        <f>Taules!F105</f>
        <v>0</v>
      </c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236"/>
    </row>
    <row r="265" spans="2:20" s="207" customFormat="1" x14ac:dyDescent="0.25">
      <c r="B265" s="236"/>
      <c r="C265" s="236"/>
      <c r="D265" s="378"/>
      <c r="E265" s="258"/>
      <c r="F265" s="241">
        <f>Taules!C106</f>
        <v>0</v>
      </c>
      <c r="G265" s="241" t="str">
        <f>Taules!D106</f>
        <v>Respostes</v>
      </c>
      <c r="H265" s="241" t="str">
        <f>Taules!E106</f>
        <v>NS/NC</v>
      </c>
      <c r="I265" s="241" t="str">
        <f>Taules!F106</f>
        <v>Públic</v>
      </c>
      <c r="J265" s="241" t="str">
        <f>Taules!G106</f>
        <v>Privat</v>
      </c>
      <c r="K265" s="236"/>
      <c r="L265" s="236"/>
      <c r="M265" s="236"/>
      <c r="N265" s="236"/>
      <c r="O265" s="236"/>
      <c r="P265" s="236"/>
      <c r="Q265" s="236"/>
      <c r="R265" s="236"/>
      <c r="S265" s="236"/>
      <c r="T265" s="236"/>
    </row>
    <row r="266" spans="2:20" s="207" customFormat="1" x14ac:dyDescent="0.25">
      <c r="B266" s="236"/>
      <c r="C266" s="236"/>
      <c r="D266" s="378"/>
      <c r="E266" s="258"/>
      <c r="F266" s="241" t="str">
        <f>Taules!C107</f>
        <v>TOTAL UPC</v>
      </c>
      <c r="G266" s="241">
        <f>Taules!D107</f>
        <v>1778</v>
      </c>
      <c r="H266" s="241">
        <f>Taules!E107</f>
        <v>1.1248593925759281E-3</v>
      </c>
      <c r="I266" s="241">
        <f>Taules!F107</f>
        <v>0.13554555680539931</v>
      </c>
      <c r="J266" s="241">
        <f>Taules!G107</f>
        <v>0.86332958380202474</v>
      </c>
      <c r="K266" s="236"/>
      <c r="L266" s="236"/>
      <c r="M266" s="236"/>
      <c r="N266" s="236"/>
      <c r="O266" s="236"/>
      <c r="P266" s="236"/>
      <c r="Q266" s="236"/>
      <c r="R266" s="236"/>
      <c r="S266" s="236"/>
      <c r="T266" s="236"/>
    </row>
    <row r="267" spans="2:20" s="207" customFormat="1" x14ac:dyDescent="0.25">
      <c r="B267" s="236"/>
      <c r="C267" s="236"/>
      <c r="D267" s="378"/>
      <c r="E267" s="258"/>
      <c r="F267" s="243"/>
      <c r="G267" s="236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6"/>
      <c r="S267" s="236"/>
      <c r="T267" s="236"/>
    </row>
    <row r="268" spans="2:20" s="207" customFormat="1" x14ac:dyDescent="0.25"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236"/>
    </row>
    <row r="269" spans="2:20" s="207" customFormat="1" x14ac:dyDescent="0.25"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236"/>
    </row>
    <row r="270" spans="2:20" s="207" customFormat="1" x14ac:dyDescent="0.25"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236"/>
    </row>
    <row r="271" spans="2:20" s="207" customFormat="1" x14ac:dyDescent="0.25">
      <c r="B271" s="236"/>
      <c r="C271" s="236"/>
      <c r="D271" s="236"/>
      <c r="E271" s="236"/>
      <c r="F271" s="236"/>
      <c r="G271" s="236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236"/>
    </row>
    <row r="272" spans="2:20" s="207" customFormat="1" x14ac:dyDescent="0.25"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236"/>
    </row>
    <row r="273" spans="2:20" s="207" customFormat="1" x14ac:dyDescent="0.25">
      <c r="B273" s="236"/>
      <c r="C273" s="236"/>
      <c r="D273" s="236"/>
      <c r="E273" s="236"/>
      <c r="F273" s="236"/>
      <c r="G273" s="236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6"/>
      <c r="S273" s="236"/>
      <c r="T273" s="236"/>
    </row>
    <row r="274" spans="2:20" s="207" customFormat="1" x14ac:dyDescent="0.25">
      <c r="B274" s="236"/>
      <c r="C274" s="236"/>
      <c r="D274" s="236"/>
      <c r="E274" s="236"/>
      <c r="F274" s="236"/>
      <c r="G274" s="236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236"/>
    </row>
    <row r="275" spans="2:20" s="207" customFormat="1" x14ac:dyDescent="0.25"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236"/>
    </row>
    <row r="276" spans="2:20" s="207" customFormat="1" x14ac:dyDescent="0.25"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236"/>
    </row>
    <row r="277" spans="2:20" s="207" customFormat="1" x14ac:dyDescent="0.25"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236"/>
    </row>
    <row r="278" spans="2:20" s="207" customFormat="1" x14ac:dyDescent="0.25"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236"/>
    </row>
    <row r="279" spans="2:20" s="207" customFormat="1" x14ac:dyDescent="0.25"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236"/>
    </row>
    <row r="280" spans="2:20" s="207" customFormat="1" x14ac:dyDescent="0.25"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236"/>
    </row>
    <row r="284" spans="2:20" s="207" customFormat="1" x14ac:dyDescent="0.25"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</row>
    <row r="285" spans="2:20" s="207" customFormat="1" x14ac:dyDescent="0.25"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</row>
    <row r="286" spans="2:20" s="207" customFormat="1" x14ac:dyDescent="0.25"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236"/>
    </row>
    <row r="287" spans="2:20" s="207" customFormat="1" x14ac:dyDescent="0.25"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236"/>
    </row>
    <row r="288" spans="2:20" s="207" customFormat="1" x14ac:dyDescent="0.25">
      <c r="B288" s="236"/>
      <c r="C288" s="236"/>
      <c r="D288" s="236"/>
      <c r="E288" s="236"/>
      <c r="F288" s="236"/>
      <c r="G288" s="236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236"/>
    </row>
    <row r="289" spans="2:20" s="207" customFormat="1" x14ac:dyDescent="0.25">
      <c r="B289" s="236"/>
      <c r="C289" s="236"/>
      <c r="D289" s="236"/>
      <c r="E289" s="236"/>
      <c r="F289" s="236"/>
      <c r="G289" s="236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236"/>
    </row>
    <row r="290" spans="2:20" s="207" customFormat="1" x14ac:dyDescent="0.25"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236"/>
    </row>
    <row r="291" spans="2:20" s="207" customFormat="1" x14ac:dyDescent="0.25"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236"/>
    </row>
    <row r="292" spans="2:20" s="207" customFormat="1" x14ac:dyDescent="0.25"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236"/>
    </row>
    <row r="293" spans="2:20" s="207" customFormat="1" x14ac:dyDescent="0.25"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236"/>
    </row>
    <row r="294" spans="2:20" s="207" customFormat="1" x14ac:dyDescent="0.25">
      <c r="B294" s="236"/>
      <c r="C294" s="236"/>
      <c r="D294" s="380"/>
      <c r="E294" s="380"/>
      <c r="F294" s="266"/>
      <c r="G294" s="236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236"/>
    </row>
    <row r="295" spans="2:20" s="207" customFormat="1" x14ac:dyDescent="0.25">
      <c r="B295" s="236"/>
      <c r="C295" s="236"/>
      <c r="D295" s="378"/>
      <c r="E295" s="258"/>
      <c r="F295" s="241"/>
      <c r="G295" s="236">
        <f>Taules!C105</f>
        <v>0</v>
      </c>
      <c r="H295" s="236" t="str">
        <f>Taules!H105</f>
        <v>Ubicació (%)</v>
      </c>
      <c r="I295" s="236">
        <f>Taules!I105</f>
        <v>0</v>
      </c>
      <c r="J295" s="236">
        <f>Taules!J105</f>
        <v>0</v>
      </c>
      <c r="K295" s="236">
        <f>Taules!K105</f>
        <v>0</v>
      </c>
      <c r="L295" s="236">
        <f>Taules!L105</f>
        <v>0</v>
      </c>
      <c r="M295" s="236">
        <f>Taules!M105</f>
        <v>0</v>
      </c>
      <c r="N295" s="236">
        <f>Taules!N105</f>
        <v>0</v>
      </c>
      <c r="O295" s="236">
        <f>Taules!O105</f>
        <v>0</v>
      </c>
      <c r="P295" s="236">
        <f>Taules!P105</f>
        <v>0</v>
      </c>
      <c r="Q295" s="236"/>
      <c r="R295" s="236"/>
      <c r="S295" s="236"/>
      <c r="T295" s="236"/>
    </row>
    <row r="296" spans="2:20" s="207" customFormat="1" x14ac:dyDescent="0.25">
      <c r="B296" s="236"/>
      <c r="C296" s="236"/>
      <c r="D296" s="378"/>
      <c r="E296" s="258"/>
      <c r="F296" s="243"/>
      <c r="G296" s="236">
        <f>Taules!C106</f>
        <v>0</v>
      </c>
      <c r="H296" s="236" t="str">
        <f>Taules!H106</f>
        <v>Respostes</v>
      </c>
      <c r="I296" s="236" t="str">
        <f>Taules!I106</f>
        <v>NS/NC</v>
      </c>
      <c r="J296" s="236" t="str">
        <f>Taules!J106</f>
        <v>Barcelona</v>
      </c>
      <c r="K296" s="236" t="str">
        <f>Taules!K106</f>
        <v>Tarragona</v>
      </c>
      <c r="L296" s="236" t="str">
        <f>Taules!L106</f>
        <v>Girona</v>
      </c>
      <c r="M296" s="236" t="str">
        <f>Taules!M106</f>
        <v>Lleida</v>
      </c>
      <c r="N296" s="236" t="str">
        <f>Taules!N106</f>
        <v>Resta
CCAA</v>
      </c>
      <c r="O296" s="236" t="str">
        <f>Taules!O106</f>
        <v>Europa</v>
      </c>
      <c r="P296" s="236" t="str">
        <f>Taules!P106</f>
        <v>Resta món</v>
      </c>
      <c r="Q296" s="236"/>
      <c r="R296" s="236"/>
      <c r="S296" s="236"/>
      <c r="T296" s="236"/>
    </row>
    <row r="297" spans="2:20" s="207" customFormat="1" x14ac:dyDescent="0.25">
      <c r="B297" s="236"/>
      <c r="C297" s="236"/>
      <c r="D297" s="378"/>
      <c r="E297" s="267"/>
      <c r="F297" s="243"/>
      <c r="G297" s="236" t="str">
        <f>Taules!C107</f>
        <v>TOTAL UPC</v>
      </c>
      <c r="H297" s="236">
        <f>Taules!H107</f>
        <v>1778</v>
      </c>
      <c r="I297" s="236">
        <f>Taules!I107</f>
        <v>0</v>
      </c>
      <c r="J297" s="236">
        <f>Taules!J107</f>
        <v>0.8110236220472441</v>
      </c>
      <c r="K297" s="236">
        <f>Taules!K107</f>
        <v>3.9932508436445448E-2</v>
      </c>
      <c r="L297" s="236">
        <f>Taules!L107</f>
        <v>2.6996625421822271E-2</v>
      </c>
      <c r="M297" s="236">
        <f>Taules!M107</f>
        <v>2.8683914510686165E-2</v>
      </c>
      <c r="N297" s="236">
        <f>Taules!N107</f>
        <v>6.2429696287964007E-2</v>
      </c>
      <c r="O297" s="236">
        <f>Taules!O107</f>
        <v>2.0809898762654669E-2</v>
      </c>
      <c r="P297" s="236">
        <f>Taules!P107</f>
        <v>1.0123734533183352E-2</v>
      </c>
      <c r="Q297" s="236"/>
      <c r="R297" s="236"/>
      <c r="S297" s="236"/>
      <c r="T297" s="236"/>
    </row>
    <row r="298" spans="2:20" s="207" customFormat="1" x14ac:dyDescent="0.25">
      <c r="B298" s="236"/>
      <c r="C298" s="236"/>
      <c r="D298" s="378"/>
      <c r="E298" s="267"/>
      <c r="F298" s="243"/>
      <c r="G298" s="236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236"/>
    </row>
    <row r="299" spans="2:20" s="207" customFormat="1" x14ac:dyDescent="0.25">
      <c r="B299" s="236"/>
      <c r="C299" s="236"/>
      <c r="D299" s="378"/>
      <c r="E299" s="267"/>
      <c r="F299" s="243"/>
      <c r="G299" s="236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236"/>
    </row>
    <row r="300" spans="2:20" s="207" customFormat="1" x14ac:dyDescent="0.25">
      <c r="B300" s="236"/>
      <c r="C300" s="236"/>
      <c r="D300" s="378"/>
      <c r="E300" s="267"/>
      <c r="F300" s="243"/>
      <c r="G300" s="236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236"/>
    </row>
    <row r="301" spans="2:20" s="207" customFormat="1" x14ac:dyDescent="0.25">
      <c r="B301" s="236"/>
      <c r="C301" s="236"/>
      <c r="D301" s="378"/>
      <c r="E301" s="258"/>
      <c r="F301" s="243"/>
      <c r="G301" s="236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236"/>
    </row>
    <row r="302" spans="2:20" s="207" customFormat="1" x14ac:dyDescent="0.25">
      <c r="B302" s="236"/>
      <c r="C302" s="236"/>
      <c r="D302" s="378"/>
      <c r="E302" s="267"/>
      <c r="F302" s="243"/>
      <c r="G302" s="236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236"/>
    </row>
    <row r="303" spans="2:20" s="207" customFormat="1" x14ac:dyDescent="0.25">
      <c r="B303" s="236"/>
      <c r="C303" s="236"/>
      <c r="D303" s="378"/>
      <c r="E303" s="267"/>
      <c r="F303" s="243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236"/>
    </row>
    <row r="304" spans="2:20" s="207" customFormat="1" x14ac:dyDescent="0.25">
      <c r="B304" s="236"/>
      <c r="C304" s="236"/>
      <c r="D304" s="236"/>
      <c r="E304" s="236"/>
      <c r="F304" s="236"/>
      <c r="G304" s="236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236"/>
    </row>
    <row r="305" spans="2:20" s="207" customFormat="1" x14ac:dyDescent="0.25"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6"/>
      <c r="S305" s="236"/>
      <c r="T305" s="236"/>
    </row>
    <row r="306" spans="2:20" s="207" customFormat="1" x14ac:dyDescent="0.25"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236"/>
    </row>
    <row r="307" spans="2:20" s="207" customFormat="1" x14ac:dyDescent="0.25"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236"/>
    </row>
    <row r="308" spans="2:20" s="207" customFormat="1" x14ac:dyDescent="0.25">
      <c r="B308" s="236"/>
      <c r="C308" s="236"/>
      <c r="D308" s="236"/>
      <c r="E308" s="236"/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236"/>
    </row>
    <row r="313" spans="2:20" ht="21" x14ac:dyDescent="0.25">
      <c r="C313" s="235" t="s">
        <v>339</v>
      </c>
    </row>
    <row r="316" spans="2:20" s="207" customFormat="1" x14ac:dyDescent="0.25">
      <c r="B316" s="236"/>
      <c r="C316" s="236"/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</row>
    <row r="317" spans="2:20" s="207" customFormat="1" x14ac:dyDescent="0.25">
      <c r="B317" s="236"/>
      <c r="C317" s="236"/>
      <c r="D317" s="236"/>
      <c r="E317" s="236"/>
      <c r="F317" s="236"/>
      <c r="G317" s="236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</row>
    <row r="318" spans="2:20" s="207" customFormat="1" ht="25.5" x14ac:dyDescent="0.25">
      <c r="B318" s="236"/>
      <c r="C318" s="257"/>
      <c r="D318" s="258" t="s">
        <v>2</v>
      </c>
      <c r="E318" s="258" t="s">
        <v>195</v>
      </c>
      <c r="F318" s="258" t="s">
        <v>56</v>
      </c>
      <c r="G318" s="258" t="s">
        <v>57</v>
      </c>
      <c r="H318" s="258" t="s">
        <v>58</v>
      </c>
      <c r="I318" s="258" t="s">
        <v>59</v>
      </c>
      <c r="J318" s="258" t="s">
        <v>60</v>
      </c>
      <c r="K318" s="258" t="s">
        <v>61</v>
      </c>
      <c r="L318" s="258" t="s">
        <v>62</v>
      </c>
      <c r="M318" s="258" t="s">
        <v>63</v>
      </c>
      <c r="N318" s="236"/>
      <c r="O318" s="236"/>
      <c r="P318" s="236"/>
      <c r="Q318" s="236"/>
      <c r="R318" s="236"/>
      <c r="S318" s="236"/>
      <c r="T318" s="236"/>
    </row>
    <row r="319" spans="2:20" s="207" customFormat="1" x14ac:dyDescent="0.25">
      <c r="B319" s="236"/>
      <c r="C319" s="248" t="str">
        <f>Taules!C115</f>
        <v>TOTAL UPC</v>
      </c>
      <c r="D319" s="248">
        <f>Taules!D115</f>
        <v>1778</v>
      </c>
      <c r="E319" s="262">
        <f>Taules!E115</f>
        <v>4.8368953880764905E-2</v>
      </c>
      <c r="F319" s="262">
        <f>Taules!F115</f>
        <v>2.9246344206974129E-2</v>
      </c>
      <c r="G319" s="262">
        <f>Taules!G115</f>
        <v>3.2058492688413945E-2</v>
      </c>
      <c r="H319" s="262">
        <f>Taules!H115</f>
        <v>4.4994375703037118E-2</v>
      </c>
      <c r="I319" s="262">
        <f>Taules!I115</f>
        <v>5.736782902137233E-2</v>
      </c>
      <c r="J319" s="262">
        <f>Taules!J115</f>
        <v>0.19966254218222723</v>
      </c>
      <c r="K319" s="262">
        <f>Taules!K115</f>
        <v>0.24521934758155231</v>
      </c>
      <c r="L319" s="262">
        <f>Taules!L115</f>
        <v>0.24184476940382452</v>
      </c>
      <c r="M319" s="262">
        <f>Taules!M115</f>
        <v>0.10123734533183353</v>
      </c>
      <c r="N319" s="236"/>
      <c r="O319" s="236"/>
      <c r="P319" s="236"/>
      <c r="Q319" s="236"/>
      <c r="R319" s="236"/>
      <c r="S319" s="236"/>
      <c r="T319" s="236"/>
    </row>
    <row r="320" spans="2:20" s="207" customFormat="1" x14ac:dyDescent="0.25">
      <c r="B320" s="236"/>
      <c r="C320" s="236"/>
      <c r="D320" s="268"/>
      <c r="E320" s="268"/>
      <c r="F320" s="268"/>
      <c r="G320" s="268"/>
      <c r="H320" s="268"/>
      <c r="I320" s="268"/>
      <c r="J320" s="268"/>
      <c r="K320" s="268"/>
      <c r="L320" s="268"/>
      <c r="M320" s="236"/>
      <c r="N320" s="236"/>
      <c r="O320" s="236"/>
      <c r="P320" s="236"/>
      <c r="Q320" s="236"/>
      <c r="R320" s="236"/>
      <c r="S320" s="236"/>
      <c r="T320" s="236"/>
    </row>
    <row r="321" spans="2:20" s="207" customFormat="1" x14ac:dyDescent="0.25">
      <c r="B321" s="236"/>
      <c r="C321" s="236"/>
      <c r="D321" s="268"/>
      <c r="E321" s="268"/>
      <c r="F321" s="268"/>
      <c r="G321" s="268"/>
      <c r="H321" s="268"/>
      <c r="I321" s="268"/>
      <c r="J321" s="268"/>
      <c r="K321" s="268"/>
      <c r="L321" s="268"/>
      <c r="M321" s="236"/>
      <c r="N321" s="236"/>
      <c r="O321" s="236"/>
      <c r="P321" s="236"/>
      <c r="Q321" s="236"/>
      <c r="R321" s="236"/>
      <c r="S321" s="236"/>
      <c r="T321" s="236"/>
    </row>
    <row r="322" spans="2:20" s="207" customFormat="1" x14ac:dyDescent="0.25">
      <c r="B322" s="236"/>
      <c r="C322" s="236"/>
      <c r="D322" s="236"/>
      <c r="E322" s="236"/>
      <c r="F322" s="236"/>
      <c r="G322" s="236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236"/>
    </row>
    <row r="323" spans="2:20" s="207" customFormat="1" x14ac:dyDescent="0.25">
      <c r="B323" s="236"/>
      <c r="C323" s="236"/>
      <c r="D323" s="236"/>
      <c r="E323" s="236"/>
      <c r="F323" s="236"/>
      <c r="G323" s="236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236"/>
    </row>
    <row r="324" spans="2:20" s="207" customFormat="1" x14ac:dyDescent="0.25">
      <c r="B324" s="236"/>
      <c r="C324" s="236"/>
      <c r="D324" s="236"/>
      <c r="E324" s="236"/>
      <c r="F324" s="236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</row>
    <row r="325" spans="2:20" s="207" customFormat="1" x14ac:dyDescent="0.25">
      <c r="B325" s="236"/>
      <c r="C325" s="236"/>
      <c r="D325" s="236"/>
      <c r="E325" s="236"/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236"/>
    </row>
    <row r="326" spans="2:20" s="207" customFormat="1" x14ac:dyDescent="0.25">
      <c r="B326" s="236"/>
      <c r="C326" s="236"/>
      <c r="D326" s="236"/>
      <c r="E326" s="236"/>
      <c r="F326" s="236"/>
      <c r="G326" s="236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236"/>
    </row>
    <row r="327" spans="2:20" s="207" customFormat="1" x14ac:dyDescent="0.25">
      <c r="B327" s="236"/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236"/>
    </row>
    <row r="328" spans="2:20" s="207" customFormat="1" x14ac:dyDescent="0.25">
      <c r="B328" s="236"/>
      <c r="C328" s="236"/>
      <c r="D328" s="236"/>
      <c r="E328" s="236"/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236"/>
    </row>
    <row r="329" spans="2:20" s="207" customFormat="1" x14ac:dyDescent="0.25">
      <c r="B329" s="236"/>
      <c r="C329" s="236"/>
      <c r="D329" s="236"/>
      <c r="E329" s="236"/>
      <c r="F329" s="236"/>
      <c r="G329" s="236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236"/>
    </row>
    <row r="330" spans="2:20" s="207" customFormat="1" x14ac:dyDescent="0.25">
      <c r="B330" s="236"/>
      <c r="C330" s="236"/>
      <c r="D330" s="236"/>
      <c r="E330" s="236"/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236"/>
    </row>
    <row r="331" spans="2:20" s="207" customFormat="1" x14ac:dyDescent="0.25">
      <c r="B331" s="236"/>
      <c r="C331" s="236"/>
      <c r="D331" s="236"/>
      <c r="E331" s="236"/>
      <c r="F331" s="236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</row>
    <row r="332" spans="2:20" s="207" customFormat="1" x14ac:dyDescent="0.25">
      <c r="B332" s="236"/>
      <c r="C332" s="236"/>
      <c r="D332" s="236"/>
      <c r="E332" s="236"/>
      <c r="F332" s="236"/>
      <c r="G332" s="236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236"/>
    </row>
    <row r="333" spans="2:20" s="207" customFormat="1" x14ac:dyDescent="0.25">
      <c r="B333" s="236"/>
      <c r="C333" s="236"/>
      <c r="D333" s="236"/>
      <c r="E333" s="236"/>
      <c r="F333" s="236"/>
      <c r="G333" s="236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236"/>
    </row>
    <row r="334" spans="2:20" s="207" customFormat="1" x14ac:dyDescent="0.25">
      <c r="B334" s="236"/>
      <c r="C334" s="236"/>
      <c r="D334" s="236"/>
      <c r="E334" s="236"/>
      <c r="F334" s="236"/>
      <c r="G334" s="236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236"/>
    </row>
    <row r="335" spans="2:20" s="207" customFormat="1" x14ac:dyDescent="0.25">
      <c r="B335" s="236"/>
      <c r="C335" s="236"/>
      <c r="D335" s="236"/>
      <c r="E335" s="236"/>
      <c r="F335" s="236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236"/>
    </row>
    <row r="336" spans="2:20" s="207" customFormat="1" x14ac:dyDescent="0.25">
      <c r="B336" s="236"/>
      <c r="C336" s="236"/>
      <c r="D336" s="236"/>
      <c r="E336" s="236"/>
      <c r="F336" s="236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</row>
    <row r="337" spans="2:20" s="207" customFormat="1" x14ac:dyDescent="0.25">
      <c r="B337" s="236"/>
      <c r="C337" s="236"/>
      <c r="D337" s="236"/>
      <c r="E337" s="236"/>
      <c r="F337" s="236"/>
      <c r="G337" s="236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236"/>
    </row>
    <row r="338" spans="2:20" s="207" customFormat="1" x14ac:dyDescent="0.25">
      <c r="B338" s="236"/>
      <c r="C338" s="236"/>
      <c r="D338" s="236"/>
      <c r="E338" s="236"/>
      <c r="F338" s="236"/>
      <c r="G338" s="236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236"/>
      <c r="S338" s="236"/>
      <c r="T338" s="236"/>
    </row>
    <row r="339" spans="2:20" s="207" customFormat="1" x14ac:dyDescent="0.25">
      <c r="B339" s="236"/>
      <c r="C339" s="236"/>
      <c r="D339" s="236"/>
      <c r="E339" s="236"/>
      <c r="F339" s="236"/>
      <c r="G339" s="236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236"/>
      <c r="S339" s="236"/>
      <c r="T339" s="236"/>
    </row>
    <row r="340" spans="2:20" s="207" customFormat="1" x14ac:dyDescent="0.25">
      <c r="B340" s="236"/>
      <c r="C340" s="236"/>
      <c r="D340" s="236"/>
      <c r="E340" s="236"/>
      <c r="F340" s="236"/>
      <c r="G340" s="236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  <c r="T340" s="236"/>
    </row>
    <row r="341" spans="2:20" s="207" customFormat="1" x14ac:dyDescent="0.25"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  <c r="T341" s="236"/>
    </row>
    <row r="342" spans="2:20" s="207" customFormat="1" x14ac:dyDescent="0.25">
      <c r="B342" s="236"/>
      <c r="C342" s="236"/>
      <c r="D342" s="236"/>
      <c r="E342" s="236"/>
      <c r="F342" s="236"/>
      <c r="G342" s="236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  <c r="T342" s="236"/>
    </row>
    <row r="343" spans="2:20" s="207" customFormat="1" x14ac:dyDescent="0.25">
      <c r="B343" s="236"/>
      <c r="C343" s="236"/>
      <c r="D343" s="236"/>
      <c r="E343" s="236"/>
      <c r="F343" s="236"/>
      <c r="G343" s="236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236"/>
      <c r="S343" s="236"/>
      <c r="T343" s="236"/>
    </row>
    <row r="351" spans="2:20" ht="21" x14ac:dyDescent="0.25">
      <c r="C351" s="235" t="s">
        <v>303</v>
      </c>
    </row>
    <row r="354" spans="2:22" s="207" customFormat="1" x14ac:dyDescent="0.25">
      <c r="B354" s="236"/>
      <c r="C354" s="236"/>
      <c r="D354" s="236"/>
      <c r="E354" s="236"/>
      <c r="F354" s="236"/>
      <c r="G354" s="236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  <c r="S354" s="236"/>
      <c r="T354" s="236"/>
    </row>
    <row r="355" spans="2:22" s="207" customFormat="1" x14ac:dyDescent="0.25">
      <c r="B355" s="236"/>
      <c r="C355" s="236"/>
      <c r="D355" s="236"/>
      <c r="E355" s="236"/>
      <c r="F355" s="236"/>
      <c r="G355" s="236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  <c r="T355" s="236"/>
    </row>
    <row r="356" spans="2:22" s="207" customFormat="1" x14ac:dyDescent="0.25">
      <c r="B356" s="236"/>
      <c r="C356" s="236"/>
      <c r="D356" s="236"/>
      <c r="E356" s="236"/>
      <c r="F356" s="236"/>
      <c r="G356" s="236"/>
      <c r="H356" s="236"/>
      <c r="I356" s="236"/>
      <c r="J356" s="236"/>
      <c r="K356" s="236"/>
      <c r="L356" s="236"/>
      <c r="M356" s="236"/>
      <c r="N356" s="236"/>
      <c r="O356" s="236"/>
      <c r="P356" s="236"/>
      <c r="Q356" s="236"/>
      <c r="R356" s="236"/>
      <c r="S356" s="236"/>
      <c r="T356" s="236"/>
    </row>
    <row r="357" spans="2:22" s="207" customFormat="1" ht="15" customHeight="1" x14ac:dyDescent="0.25">
      <c r="B357" s="236"/>
      <c r="C357" s="236"/>
      <c r="D357" s="236"/>
      <c r="E357" s="236"/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  <c r="T357" s="236"/>
    </row>
    <row r="358" spans="2:22" s="207" customFormat="1" x14ac:dyDescent="0.25">
      <c r="B358" s="236"/>
      <c r="C358" s="236"/>
      <c r="D358" s="236"/>
      <c r="E358" s="236"/>
      <c r="F358" s="236"/>
      <c r="G358" s="236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  <c r="S358" s="236"/>
      <c r="T358" s="236"/>
    </row>
    <row r="359" spans="2:22" s="207" customFormat="1" x14ac:dyDescent="0.25">
      <c r="B359" s="236"/>
      <c r="C359" s="236"/>
      <c r="D359" s="236"/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  <c r="T359" s="236"/>
    </row>
    <row r="360" spans="2:22" s="207" customFormat="1" x14ac:dyDescent="0.25">
      <c r="B360" s="236"/>
      <c r="C360" s="236"/>
      <c r="D360" s="236"/>
      <c r="E360" s="236"/>
      <c r="F360" s="236"/>
      <c r="G360" s="269"/>
      <c r="H360" s="269"/>
      <c r="I360" s="269"/>
      <c r="J360" s="269"/>
      <c r="K360" s="269"/>
      <c r="L360" s="269"/>
      <c r="M360" s="269"/>
      <c r="N360" s="269"/>
      <c r="O360" s="269"/>
      <c r="P360" s="236"/>
      <c r="Q360" s="236"/>
      <c r="R360" s="236"/>
      <c r="S360" s="236"/>
      <c r="T360" s="236"/>
      <c r="U360" s="236"/>
      <c r="V360" s="236"/>
    </row>
    <row r="361" spans="2:22" s="207" customFormat="1" x14ac:dyDescent="0.25">
      <c r="B361" s="236"/>
      <c r="C361" s="236" t="str">
        <f>Taules!D129</f>
        <v>Respostes</v>
      </c>
      <c r="D361" s="236" t="str">
        <f>Taules!E129</f>
        <v>Direcció
Gestió</v>
      </c>
      <c r="E361" s="236">
        <f>Taules!F129</f>
        <v>0</v>
      </c>
      <c r="F361" s="236" t="str">
        <f>Taules!G129</f>
        <v>Comercial o
logística</v>
      </c>
      <c r="G361" s="236">
        <f>Taules!H129</f>
        <v>0</v>
      </c>
      <c r="H361" s="236" t="str">
        <f>Taules!I129</f>
        <v>Docència</v>
      </c>
      <c r="I361" s="236">
        <f>Taules!J129</f>
        <v>0</v>
      </c>
      <c r="J361" s="236" t="str">
        <f>Taules!K129</f>
        <v>R+D</v>
      </c>
      <c r="K361" s="236">
        <f>Taules!L129</f>
        <v>0</v>
      </c>
      <c r="L361" s="236" t="str">
        <f>Taules!M129</f>
        <v>Assistència
Mèdica/Social</v>
      </c>
      <c r="M361" s="236">
        <f>Taules!N129</f>
        <v>0</v>
      </c>
      <c r="N361" s="236" t="str">
        <f>Taules!O129</f>
        <v>Disseny
Art</v>
      </c>
      <c r="O361" s="236">
        <f>Taules!P129</f>
        <v>0</v>
      </c>
      <c r="P361" s="236" t="str">
        <f>Taules!Q129</f>
        <v>Tècniques</v>
      </c>
      <c r="Q361" s="236">
        <f>Taules!R129</f>
        <v>0</v>
      </c>
      <c r="R361" s="236" t="str">
        <f>Taules!S129</f>
        <v>Altres qualificades</v>
      </c>
      <c r="S361" s="236">
        <f>Taules!T129</f>
        <v>0</v>
      </c>
      <c r="T361" s="236" t="str">
        <f>Taules!U129</f>
        <v>Altres 
no qualificades</v>
      </c>
      <c r="U361" s="236">
        <f>Taules!V129</f>
        <v>0</v>
      </c>
      <c r="V361" s="236"/>
    </row>
    <row r="362" spans="2:22" s="207" customFormat="1" x14ac:dyDescent="0.25">
      <c r="B362" s="236" t="str">
        <f>Taules!C131</f>
        <v>TOTAL UPC</v>
      </c>
      <c r="C362" s="236">
        <f>Taules!D131</f>
        <v>3407</v>
      </c>
      <c r="D362" s="236">
        <f>Taules!E131</f>
        <v>787</v>
      </c>
      <c r="E362" s="236">
        <f>Taules!F131</f>
        <v>0.23099501027296743</v>
      </c>
      <c r="F362" s="236">
        <f>Taules!G131</f>
        <v>361</v>
      </c>
      <c r="G362" s="236">
        <f>Taules!H131</f>
        <v>0.10595832110361021</v>
      </c>
      <c r="H362" s="236">
        <f>Taules!I131</f>
        <v>207</v>
      </c>
      <c r="I362" s="236">
        <f>Taules!J131</f>
        <v>6.0757264455532728E-2</v>
      </c>
      <c r="J362" s="236">
        <f>Taules!K131</f>
        <v>445</v>
      </c>
      <c r="K362" s="236">
        <f>Taules!L131</f>
        <v>0.13061344291165247</v>
      </c>
      <c r="L362" s="236">
        <f>Taules!M131</f>
        <v>38</v>
      </c>
      <c r="M362" s="236">
        <f>Taules!N131</f>
        <v>1.1153507484590548E-2</v>
      </c>
      <c r="N362" s="236">
        <f>Taules!O131</f>
        <v>218</v>
      </c>
      <c r="O362" s="236">
        <f>Taules!P131</f>
        <v>6.3985911358966835E-2</v>
      </c>
      <c r="P362" s="236">
        <f>Taules!Q131</f>
        <v>1319</v>
      </c>
      <c r="Q362" s="236">
        <f>Taules!R131</f>
        <v>0.38714411505723512</v>
      </c>
      <c r="R362" s="236">
        <f>Taules!S131</f>
        <v>16</v>
      </c>
      <c r="S362" s="236">
        <f>Taules!T131</f>
        <v>4.696213677722336E-3</v>
      </c>
      <c r="T362" s="236">
        <f>Taules!U131</f>
        <v>16</v>
      </c>
      <c r="U362" s="236">
        <f>Taules!V131</f>
        <v>4.696213677722336E-3</v>
      </c>
      <c r="V362" s="236"/>
    </row>
    <row r="363" spans="2:22" s="207" customFormat="1" x14ac:dyDescent="0.25">
      <c r="B363" s="236">
        <f>Taules!C132</f>
        <v>0</v>
      </c>
      <c r="C363" s="236"/>
      <c r="D363" s="270"/>
      <c r="E363" s="270"/>
      <c r="F363" s="270"/>
      <c r="G363" s="270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  <c r="S363" s="236"/>
      <c r="T363" s="236"/>
      <c r="U363" s="236"/>
      <c r="V363" s="236"/>
    </row>
    <row r="364" spans="2:22" s="207" customFormat="1" x14ac:dyDescent="0.25">
      <c r="B364" s="236"/>
      <c r="C364" s="236"/>
      <c r="D364" s="270"/>
      <c r="E364" s="270"/>
      <c r="F364" s="270"/>
      <c r="G364" s="270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  <c r="T364" s="236"/>
      <c r="U364" s="236"/>
      <c r="V364" s="236"/>
    </row>
    <row r="365" spans="2:22" s="207" customFormat="1" x14ac:dyDescent="0.25">
      <c r="B365" s="236"/>
      <c r="C365" s="236" t="str">
        <f>D361</f>
        <v>Direcció
Gestió</v>
      </c>
      <c r="D365" s="270" t="str">
        <f>F361</f>
        <v>Comercial o
logística</v>
      </c>
      <c r="E365" s="270" t="str">
        <f>H361</f>
        <v>Docència</v>
      </c>
      <c r="F365" s="270" t="str">
        <f>J361</f>
        <v>R+D</v>
      </c>
      <c r="G365" s="270" t="str">
        <f>L361</f>
        <v>Assistència
Mèdica/Social</v>
      </c>
      <c r="H365" s="236" t="str">
        <f>N361</f>
        <v>Disseny
Art</v>
      </c>
      <c r="I365" s="236" t="str">
        <f>P361</f>
        <v>Tècniques</v>
      </c>
      <c r="J365" s="236" t="str">
        <f>R361</f>
        <v>Altres qualificades</v>
      </c>
      <c r="K365" s="236" t="str">
        <f>T361</f>
        <v>Altres 
no qualificades</v>
      </c>
      <c r="L365" s="236"/>
      <c r="M365" s="236"/>
      <c r="N365" s="236"/>
      <c r="O365" s="236"/>
      <c r="P365" s="236"/>
      <c r="Q365" s="236"/>
      <c r="R365" s="236"/>
      <c r="S365" s="236"/>
      <c r="T365" s="236"/>
      <c r="U365" s="236"/>
      <c r="V365" s="236"/>
    </row>
    <row r="366" spans="2:22" s="207" customFormat="1" x14ac:dyDescent="0.25">
      <c r="B366" s="236" t="str">
        <f>B362</f>
        <v>TOTAL UPC</v>
      </c>
      <c r="C366" s="236">
        <f>E362</f>
        <v>0.23099501027296743</v>
      </c>
      <c r="D366" s="270">
        <f>G362</f>
        <v>0.10595832110361021</v>
      </c>
      <c r="E366" s="270">
        <f>I362</f>
        <v>6.0757264455532728E-2</v>
      </c>
      <c r="F366" s="270">
        <f>K362</f>
        <v>0.13061344291165247</v>
      </c>
      <c r="G366" s="270">
        <f>M362</f>
        <v>1.1153507484590548E-2</v>
      </c>
      <c r="H366" s="236">
        <f>O362</f>
        <v>6.3985911358966835E-2</v>
      </c>
      <c r="I366" s="236">
        <f>Q362</f>
        <v>0.38714411505723512</v>
      </c>
      <c r="J366" s="236">
        <f>S362</f>
        <v>4.696213677722336E-3</v>
      </c>
      <c r="K366" s="236">
        <f>U362</f>
        <v>4.696213677722336E-3</v>
      </c>
      <c r="L366" s="236"/>
      <c r="M366" s="236"/>
      <c r="N366" s="236"/>
      <c r="O366" s="236"/>
      <c r="P366" s="236"/>
      <c r="Q366" s="236"/>
      <c r="R366" s="236"/>
      <c r="S366" s="236"/>
      <c r="T366" s="236"/>
      <c r="U366" s="236"/>
      <c r="V366" s="236"/>
    </row>
    <row r="367" spans="2:22" s="207" customFormat="1" x14ac:dyDescent="0.25">
      <c r="B367" s="236"/>
      <c r="C367" s="236"/>
      <c r="D367" s="270"/>
      <c r="E367" s="270"/>
      <c r="F367" s="270"/>
      <c r="G367" s="270"/>
      <c r="H367" s="236"/>
      <c r="I367" s="236"/>
      <c r="J367" s="236"/>
      <c r="K367" s="236"/>
      <c r="L367" s="236"/>
      <c r="M367" s="236"/>
      <c r="N367" s="236"/>
      <c r="O367" s="236"/>
      <c r="P367" s="236"/>
      <c r="Q367" s="236"/>
      <c r="R367" s="236"/>
      <c r="S367" s="236"/>
      <c r="T367" s="236"/>
      <c r="U367" s="236"/>
      <c r="V367" s="236"/>
    </row>
    <row r="368" spans="2:22" s="207" customFormat="1" x14ac:dyDescent="0.25">
      <c r="B368" s="236"/>
      <c r="C368" s="236"/>
      <c r="D368" s="270"/>
      <c r="E368" s="270"/>
      <c r="F368" s="270"/>
      <c r="G368" s="270"/>
      <c r="H368" s="236"/>
      <c r="I368" s="236"/>
      <c r="J368" s="236"/>
      <c r="K368" s="236"/>
      <c r="L368" s="236"/>
      <c r="M368" s="236"/>
      <c r="N368" s="236"/>
      <c r="O368" s="236"/>
      <c r="P368" s="236"/>
      <c r="Q368" s="236"/>
      <c r="R368" s="236"/>
      <c r="S368" s="236"/>
      <c r="T368" s="236"/>
      <c r="U368" s="236"/>
      <c r="V368" s="236"/>
    </row>
    <row r="369" spans="2:22" s="207" customFormat="1" x14ac:dyDescent="0.25">
      <c r="B369" s="236"/>
      <c r="C369" s="236"/>
      <c r="D369" s="270"/>
      <c r="E369" s="270"/>
      <c r="F369" s="270"/>
      <c r="G369" s="270"/>
      <c r="H369" s="236"/>
      <c r="I369" s="236"/>
      <c r="J369" s="236"/>
      <c r="K369" s="236"/>
      <c r="L369" s="236"/>
      <c r="M369" s="236"/>
      <c r="N369" s="236"/>
      <c r="O369" s="236"/>
      <c r="P369" s="236"/>
      <c r="Q369" s="236"/>
      <c r="R369" s="236"/>
      <c r="S369" s="236"/>
      <c r="T369" s="236"/>
      <c r="U369" s="236"/>
      <c r="V369" s="236"/>
    </row>
    <row r="370" spans="2:22" s="207" customFormat="1" x14ac:dyDescent="0.25">
      <c r="B370" s="236"/>
      <c r="C370" s="236"/>
      <c r="D370" s="270"/>
      <c r="E370" s="270"/>
      <c r="F370" s="270"/>
      <c r="G370" s="270"/>
      <c r="H370" s="236"/>
      <c r="I370" s="236"/>
      <c r="J370" s="236"/>
      <c r="K370" s="236"/>
      <c r="L370" s="236"/>
      <c r="M370" s="236"/>
      <c r="N370" s="236"/>
      <c r="O370" s="236"/>
      <c r="P370" s="236"/>
      <c r="Q370" s="236"/>
      <c r="R370" s="236"/>
      <c r="S370" s="236"/>
      <c r="T370" s="236"/>
      <c r="U370" s="236"/>
      <c r="V370" s="236"/>
    </row>
    <row r="371" spans="2:22" s="207" customFormat="1" x14ac:dyDescent="0.25">
      <c r="B371" s="236"/>
      <c r="C371" s="236"/>
      <c r="D371" s="270"/>
      <c r="E371" s="270"/>
      <c r="F371" s="270"/>
      <c r="G371" s="270"/>
      <c r="H371" s="236"/>
      <c r="I371" s="236"/>
      <c r="J371" s="236"/>
      <c r="K371" s="236"/>
      <c r="L371" s="236"/>
      <c r="M371" s="236"/>
      <c r="N371" s="236"/>
      <c r="O371" s="236"/>
      <c r="P371" s="236"/>
      <c r="Q371" s="236"/>
      <c r="R371" s="236"/>
      <c r="S371" s="236"/>
      <c r="T371" s="236"/>
    </row>
    <row r="372" spans="2:22" s="207" customFormat="1" x14ac:dyDescent="0.25">
      <c r="B372" s="236"/>
      <c r="C372" s="236"/>
      <c r="D372" s="270"/>
      <c r="E372" s="270"/>
      <c r="F372" s="270"/>
      <c r="G372" s="270"/>
      <c r="H372" s="236"/>
      <c r="I372" s="236"/>
      <c r="J372" s="236"/>
      <c r="K372" s="236"/>
      <c r="L372" s="236"/>
      <c r="M372" s="236"/>
      <c r="N372" s="236"/>
      <c r="O372" s="236"/>
      <c r="P372" s="236"/>
      <c r="Q372" s="236"/>
      <c r="R372" s="236"/>
      <c r="S372" s="236"/>
      <c r="T372" s="236"/>
    </row>
    <row r="373" spans="2:22" s="207" customFormat="1" x14ac:dyDescent="0.25">
      <c r="B373" s="236"/>
      <c r="C373" s="236"/>
      <c r="D373" s="270"/>
      <c r="E373" s="270"/>
      <c r="F373" s="270"/>
      <c r="G373" s="270"/>
      <c r="H373" s="236"/>
      <c r="I373" s="236"/>
      <c r="J373" s="236"/>
      <c r="K373" s="236"/>
      <c r="L373" s="236"/>
      <c r="M373" s="236"/>
      <c r="N373" s="236"/>
      <c r="O373" s="236"/>
      <c r="P373" s="236"/>
      <c r="Q373" s="236"/>
      <c r="R373" s="236"/>
      <c r="S373" s="236"/>
      <c r="T373" s="236"/>
    </row>
    <row r="374" spans="2:22" s="207" customFormat="1" x14ac:dyDescent="0.25">
      <c r="B374" s="236"/>
      <c r="C374" s="236"/>
      <c r="D374" s="270"/>
      <c r="E374" s="270"/>
      <c r="F374" s="270"/>
      <c r="G374" s="270"/>
      <c r="H374" s="236"/>
      <c r="I374" s="236"/>
      <c r="J374" s="236"/>
      <c r="K374" s="236"/>
      <c r="L374" s="236"/>
      <c r="M374" s="236"/>
      <c r="N374" s="236"/>
      <c r="O374" s="236"/>
      <c r="P374" s="236"/>
      <c r="Q374" s="236"/>
      <c r="R374" s="236"/>
      <c r="S374" s="236"/>
      <c r="T374" s="236"/>
    </row>
    <row r="375" spans="2:22" s="207" customFormat="1" x14ac:dyDescent="0.25">
      <c r="B375" s="236"/>
      <c r="C375" s="236"/>
      <c r="D375" s="270"/>
      <c r="E375" s="270"/>
      <c r="F375" s="270"/>
      <c r="G375" s="270"/>
      <c r="H375" s="236"/>
      <c r="I375" s="236"/>
      <c r="J375" s="236"/>
      <c r="K375" s="236"/>
      <c r="L375" s="236"/>
      <c r="M375" s="236"/>
      <c r="N375" s="236"/>
      <c r="O375" s="236"/>
      <c r="P375" s="236"/>
      <c r="Q375" s="236"/>
      <c r="R375" s="236"/>
      <c r="S375" s="236"/>
      <c r="T375" s="236"/>
    </row>
    <row r="376" spans="2:22" s="207" customFormat="1" x14ac:dyDescent="0.25">
      <c r="B376" s="236"/>
      <c r="C376" s="236"/>
      <c r="D376" s="270"/>
      <c r="E376" s="270"/>
      <c r="F376" s="270"/>
      <c r="G376" s="270"/>
      <c r="H376" s="236"/>
      <c r="I376" s="236"/>
      <c r="J376" s="236"/>
      <c r="K376" s="236"/>
      <c r="L376" s="236"/>
      <c r="M376" s="236"/>
      <c r="N376" s="236"/>
      <c r="O376" s="236"/>
      <c r="P376" s="236"/>
      <c r="Q376" s="236"/>
      <c r="R376" s="236"/>
      <c r="S376" s="236"/>
      <c r="T376" s="236"/>
    </row>
    <row r="377" spans="2:22" s="207" customFormat="1" x14ac:dyDescent="0.25">
      <c r="B377" s="236"/>
      <c r="C377" s="236"/>
      <c r="D377" s="270"/>
      <c r="E377" s="270"/>
      <c r="F377" s="270"/>
      <c r="G377" s="270"/>
      <c r="H377" s="236"/>
      <c r="I377" s="236"/>
      <c r="J377" s="236"/>
      <c r="K377" s="236"/>
      <c r="L377" s="236"/>
      <c r="M377" s="236"/>
      <c r="N377" s="236"/>
      <c r="O377" s="236"/>
      <c r="P377" s="236"/>
      <c r="Q377" s="236"/>
      <c r="R377" s="236"/>
      <c r="S377" s="236"/>
      <c r="T377" s="236"/>
    </row>
    <row r="378" spans="2:22" s="207" customFormat="1" x14ac:dyDescent="0.25">
      <c r="B378" s="236"/>
      <c r="C378" s="236"/>
      <c r="D378" s="270"/>
      <c r="E378" s="270"/>
      <c r="F378" s="270"/>
      <c r="G378" s="270"/>
      <c r="H378" s="236"/>
      <c r="I378" s="236"/>
      <c r="J378" s="236"/>
      <c r="K378" s="236"/>
      <c r="L378" s="236"/>
      <c r="M378" s="236"/>
      <c r="N378" s="236"/>
      <c r="O378" s="236"/>
      <c r="P378" s="236"/>
      <c r="Q378" s="236"/>
      <c r="R378" s="236"/>
      <c r="S378" s="236"/>
      <c r="T378" s="236"/>
    </row>
    <row r="379" spans="2:22" s="207" customFormat="1" x14ac:dyDescent="0.25">
      <c r="B379" s="236"/>
      <c r="C379" s="236"/>
      <c r="D379" s="270"/>
      <c r="E379" s="270"/>
      <c r="F379" s="270"/>
      <c r="G379" s="270"/>
      <c r="H379" s="236"/>
      <c r="I379" s="236"/>
      <c r="J379" s="236"/>
      <c r="K379" s="236"/>
      <c r="L379" s="236"/>
      <c r="M379" s="236"/>
      <c r="N379" s="236"/>
      <c r="O379" s="236"/>
      <c r="P379" s="236"/>
      <c r="Q379" s="236"/>
      <c r="R379" s="236"/>
      <c r="S379" s="236"/>
      <c r="T379" s="236"/>
    </row>
    <row r="384" spans="2:22" ht="21" x14ac:dyDescent="0.25">
      <c r="C384" s="235" t="s">
        <v>304</v>
      </c>
    </row>
    <row r="386" spans="2:32" s="207" customFormat="1" x14ac:dyDescent="0.25">
      <c r="B386" s="236"/>
      <c r="C386" s="236"/>
      <c r="D386" s="236"/>
      <c r="E386" s="236"/>
      <c r="F386" s="236"/>
      <c r="G386" s="236"/>
      <c r="H386" s="236"/>
      <c r="I386" s="236"/>
      <c r="J386" s="236"/>
      <c r="K386" s="236"/>
      <c r="L386" s="236"/>
      <c r="M386" s="236"/>
      <c r="N386" s="236"/>
      <c r="O386" s="236"/>
      <c r="P386" s="236"/>
      <c r="Q386" s="236"/>
      <c r="R386" s="236"/>
      <c r="S386" s="236"/>
      <c r="T386" s="236"/>
      <c r="U386" s="236"/>
      <c r="V386" s="236"/>
      <c r="W386" s="236"/>
      <c r="X386" s="236"/>
      <c r="Y386" s="236"/>
      <c r="Z386" s="236"/>
      <c r="AA386" s="236"/>
      <c r="AB386" s="236"/>
      <c r="AC386" s="236"/>
      <c r="AD386" s="236"/>
      <c r="AE386" s="236"/>
      <c r="AF386" s="236"/>
    </row>
    <row r="387" spans="2:32" s="207" customFormat="1" x14ac:dyDescent="0.25">
      <c r="B387" s="236"/>
      <c r="C387" s="236"/>
      <c r="D387" s="236"/>
      <c r="E387" s="236"/>
      <c r="F387" s="236"/>
      <c r="G387" s="236"/>
      <c r="H387" s="236"/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  <c r="T387" s="236"/>
      <c r="U387" s="236"/>
      <c r="V387" s="236"/>
      <c r="W387" s="236"/>
      <c r="X387" s="236"/>
      <c r="Y387" s="236"/>
      <c r="Z387" s="236"/>
      <c r="AA387" s="236"/>
      <c r="AB387" s="236"/>
      <c r="AC387" s="236"/>
      <c r="AD387" s="236"/>
      <c r="AE387" s="236"/>
      <c r="AF387" s="236"/>
    </row>
    <row r="388" spans="2:32" s="207" customFormat="1" x14ac:dyDescent="0.25">
      <c r="B388" s="236"/>
      <c r="C388" s="257"/>
      <c r="D388" s="257"/>
      <c r="E388" s="257"/>
      <c r="F388" s="257"/>
      <c r="G388" s="257"/>
      <c r="H388" s="257"/>
      <c r="I388" s="257"/>
      <c r="J388" s="257"/>
      <c r="K388" s="257"/>
      <c r="L388" s="257"/>
      <c r="M388" s="257"/>
      <c r="N388" s="236"/>
      <c r="O388" s="236"/>
      <c r="P388" s="236"/>
      <c r="Q388" s="236"/>
      <c r="R388" s="236"/>
      <c r="S388" s="236"/>
      <c r="T388" s="236"/>
      <c r="U388" s="236"/>
      <c r="V388" s="236"/>
      <c r="W388" s="236"/>
      <c r="X388" s="236"/>
      <c r="Y388" s="236"/>
      <c r="Z388" s="236"/>
      <c r="AA388" s="236"/>
      <c r="AB388" s="236"/>
      <c r="AC388" s="236"/>
      <c r="AD388" s="236"/>
      <c r="AE388" s="236"/>
      <c r="AF388" s="236"/>
    </row>
    <row r="389" spans="2:32" s="207" customFormat="1" x14ac:dyDescent="0.25">
      <c r="B389" s="236"/>
      <c r="C389" s="257"/>
      <c r="D389" s="257"/>
      <c r="E389" s="257"/>
      <c r="F389" s="257"/>
      <c r="G389" s="257"/>
      <c r="H389" s="257"/>
      <c r="I389" s="257"/>
      <c r="J389" s="257"/>
      <c r="K389" s="257"/>
      <c r="L389" s="257"/>
      <c r="M389" s="257"/>
      <c r="N389" s="257"/>
      <c r="O389" s="257"/>
      <c r="P389" s="257"/>
      <c r="Q389" s="257"/>
      <c r="R389" s="257"/>
      <c r="S389" s="257"/>
      <c r="T389" s="236"/>
      <c r="U389" s="236"/>
      <c r="V389" s="236"/>
      <c r="W389" s="236"/>
      <c r="X389" s="236"/>
      <c r="Y389" s="236"/>
      <c r="Z389" s="236"/>
      <c r="AA389" s="236"/>
      <c r="AB389" s="236"/>
      <c r="AC389" s="236"/>
      <c r="AD389" s="236"/>
      <c r="AE389" s="236"/>
      <c r="AF389" s="236"/>
    </row>
    <row r="390" spans="2:32" s="207" customFormat="1" x14ac:dyDescent="0.25">
      <c r="B390" s="236"/>
      <c r="C390" s="257">
        <f>Taules!C138</f>
        <v>0</v>
      </c>
      <c r="D390" s="257" t="str">
        <f>Taules!D138</f>
        <v>Respostes</v>
      </c>
      <c r="E390" s="257" t="str">
        <f>Taules!E138</f>
        <v>NS/NC</v>
      </c>
      <c r="F390" s="257" t="str">
        <f>Taules!F138</f>
        <v>Agri-
cultura</v>
      </c>
      <c r="G390" s="257" t="str">
        <f>Taules!G138</f>
        <v>Pesca</v>
      </c>
      <c r="H390" s="257" t="str">
        <f>Taules!H138</f>
        <v>Comb.
sòlids</v>
      </c>
      <c r="I390" s="257" t="str">
        <f>Taules!I138</f>
        <v>Electri-
citat</v>
      </c>
      <c r="J390" s="257" t="str">
        <f>Taules!J138</f>
        <v>Extrac.
mineral</v>
      </c>
      <c r="K390" s="257" t="str">
        <f>Taules!K138</f>
        <v>Industr.
Química</v>
      </c>
      <c r="L390" s="257" t="str">
        <f>Taules!L138</f>
        <v>Industr. Farmac.</v>
      </c>
      <c r="M390" s="257" t="str">
        <f>Taules!M138</f>
        <v>Metal·
lúrgia</v>
      </c>
      <c r="N390" s="257" t="str">
        <f>Taules!N138</f>
        <v>Mater.
Transp.</v>
      </c>
      <c r="O390" s="257" t="str">
        <f>Taules!O138</f>
        <v>Prod. 
Aliment</v>
      </c>
      <c r="P390" s="257" t="str">
        <f>Taules!P138</f>
        <v>Textil, cuir ...</v>
      </c>
      <c r="Q390" s="257" t="str">
        <f>Taules!Q138</f>
        <v>Fusta</v>
      </c>
      <c r="R390" s="257" t="str">
        <f>Taules!R138</f>
        <v>Paper</v>
      </c>
      <c r="S390" s="257" t="str">
        <f t="shared" ref="S390:AE391" si="0">D393</f>
        <v>Cautxú</v>
      </c>
      <c r="T390" s="257" t="str">
        <f t="shared" si="0"/>
        <v>Cons-
trucció</v>
      </c>
      <c r="U390" s="257" t="str">
        <f t="shared" si="0"/>
        <v>Comerç</v>
      </c>
      <c r="V390" s="257" t="str">
        <f t="shared" si="0"/>
        <v>Restau-
rants</v>
      </c>
      <c r="W390" s="257" t="str">
        <f t="shared" si="0"/>
        <v>Trans-
port</v>
      </c>
      <c r="X390" s="257" t="str">
        <f t="shared" si="0"/>
        <v>Tecnol.
comunic</v>
      </c>
      <c r="Y390" s="257" t="str">
        <f t="shared" si="0"/>
        <v>Mitjans
comunic</v>
      </c>
      <c r="Z390" s="257" t="str">
        <f t="shared" si="0"/>
        <v>Instit.
financ.</v>
      </c>
      <c r="AA390" s="257" t="str">
        <f t="shared" si="0"/>
        <v>Serveis
a empres.</v>
      </c>
      <c r="AB390" s="257" t="str">
        <f t="shared" si="0"/>
        <v>Adm.
pública</v>
      </c>
      <c r="AC390" s="257" t="str">
        <f t="shared" si="0"/>
        <v>Educ.
investig</v>
      </c>
      <c r="AD390" s="257" t="str">
        <f t="shared" si="0"/>
        <v>Sanitat
assist.</v>
      </c>
      <c r="AE390" s="257" t="str">
        <f t="shared" si="0"/>
        <v>Altres</v>
      </c>
      <c r="AF390" s="257"/>
    </row>
    <row r="391" spans="2:32" s="207" customFormat="1" x14ac:dyDescent="0.25">
      <c r="B391" s="236"/>
      <c r="C391" s="257" t="str">
        <f>Taules!C139</f>
        <v>TOTAL UPC</v>
      </c>
      <c r="D391" s="257">
        <f>Taules!D139</f>
        <v>1778</v>
      </c>
      <c r="E391" s="257">
        <f>Taules!E139</f>
        <v>1.1248593925759281E-3</v>
      </c>
      <c r="F391" s="257">
        <f>Taules!F139</f>
        <v>6.7491563554555678E-3</v>
      </c>
      <c r="G391" s="257">
        <f>Taules!G139</f>
        <v>0</v>
      </c>
      <c r="H391" s="257">
        <f>Taules!H139</f>
        <v>3.3745781777277839E-3</v>
      </c>
      <c r="I391" s="257">
        <f>Taules!I139</f>
        <v>4.4431946006749157E-2</v>
      </c>
      <c r="J391" s="257">
        <f>Taules!J139</f>
        <v>2.8121484814398199E-3</v>
      </c>
      <c r="K391" s="257">
        <f>Taules!K139</f>
        <v>1.5185601799775027E-2</v>
      </c>
      <c r="L391" s="257">
        <f>Taules!L139</f>
        <v>1.3498312710911136E-2</v>
      </c>
      <c r="M391" s="257">
        <f>Taules!M139</f>
        <v>6.8053993250843645E-2</v>
      </c>
      <c r="N391" s="257">
        <f>Taules!N139</f>
        <v>4.2182227221597299E-2</v>
      </c>
      <c r="O391" s="257">
        <f>Taules!O139</f>
        <v>1.3498312710911136E-2</v>
      </c>
      <c r="P391" s="257">
        <f>Taules!P139</f>
        <v>5.6242969628796397E-3</v>
      </c>
      <c r="Q391" s="257">
        <f>Taules!Q139</f>
        <v>1.687289088863892E-3</v>
      </c>
      <c r="R391" s="257">
        <f>Taules!R139</f>
        <v>1.1248593925759281E-3</v>
      </c>
      <c r="S391" s="257">
        <f t="shared" si="0"/>
        <v>3.3745781777277839E-3</v>
      </c>
      <c r="T391" s="257">
        <f t="shared" si="0"/>
        <v>0.20416197975253092</v>
      </c>
      <c r="U391" s="257">
        <f t="shared" si="0"/>
        <v>4.2182227221597299E-2</v>
      </c>
      <c r="V391" s="257">
        <f t="shared" si="0"/>
        <v>3.937007874015748E-3</v>
      </c>
      <c r="W391" s="257">
        <f t="shared" si="0"/>
        <v>4.8931383577052866E-2</v>
      </c>
      <c r="X391" s="257">
        <f t="shared" si="0"/>
        <v>0.13667041619797526</v>
      </c>
      <c r="Y391" s="257">
        <f t="shared" si="0"/>
        <v>6.7491563554555678E-3</v>
      </c>
      <c r="Z391" s="257">
        <f t="shared" si="0"/>
        <v>2.4746906636670417E-2</v>
      </c>
      <c r="AA391" s="257">
        <f t="shared" si="0"/>
        <v>0.1203599550056243</v>
      </c>
      <c r="AB391" s="257">
        <f t="shared" si="0"/>
        <v>3.6557930258717661E-2</v>
      </c>
      <c r="AC391" s="257">
        <f t="shared" si="0"/>
        <v>0.10067491563554555</v>
      </c>
      <c r="AD391" s="257">
        <f t="shared" si="0"/>
        <v>4.5556805399325086E-2</v>
      </c>
      <c r="AE391" s="257">
        <f t="shared" si="0"/>
        <v>6.7491563554555678E-3</v>
      </c>
      <c r="AF391" s="257"/>
    </row>
    <row r="392" spans="2:32" s="207" customFormat="1" x14ac:dyDescent="0.25">
      <c r="B392" s="236"/>
      <c r="C392" s="236"/>
      <c r="D392" s="236"/>
      <c r="E392" s="236"/>
      <c r="F392" s="236"/>
      <c r="G392" s="236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  <c r="Z392" s="236"/>
      <c r="AA392" s="236"/>
      <c r="AB392" s="236"/>
      <c r="AC392" s="236"/>
      <c r="AD392" s="236"/>
      <c r="AE392" s="236"/>
      <c r="AF392" s="236"/>
    </row>
    <row r="393" spans="2:32" s="207" customFormat="1" x14ac:dyDescent="0.25">
      <c r="B393" s="236"/>
      <c r="C393" s="236">
        <f>Taules!C144</f>
        <v>0</v>
      </c>
      <c r="D393" s="236" t="str">
        <f>Taules!D144</f>
        <v>Cautxú</v>
      </c>
      <c r="E393" s="236" t="str">
        <f>Taules!E144</f>
        <v>Cons-
trucció</v>
      </c>
      <c r="F393" s="236" t="str">
        <f>Taules!F144</f>
        <v>Comerç</v>
      </c>
      <c r="G393" s="236" t="str">
        <f>Taules!G144</f>
        <v>Restau-
rants</v>
      </c>
      <c r="H393" s="236" t="str">
        <f>Taules!H144</f>
        <v>Trans-
port</v>
      </c>
      <c r="I393" s="236" t="str">
        <f>Taules!I144</f>
        <v>Tecnol.
comunic</v>
      </c>
      <c r="J393" s="236" t="str">
        <f>Taules!J144</f>
        <v>Mitjans
comunic</v>
      </c>
      <c r="K393" s="236" t="str">
        <f>Taules!K144</f>
        <v>Instit.
financ.</v>
      </c>
      <c r="L393" s="236" t="str">
        <f>Taules!L144</f>
        <v>Serveis
a empres.</v>
      </c>
      <c r="M393" s="236" t="str">
        <f>Taules!M144</f>
        <v>Adm.
pública</v>
      </c>
      <c r="N393" s="236" t="str">
        <f>Taules!N144</f>
        <v>Educ.
investig</v>
      </c>
      <c r="O393" s="236" t="str">
        <f>Taules!O144</f>
        <v>Sanitat
assist.</v>
      </c>
      <c r="P393" s="236" t="str">
        <f>Taules!P144</f>
        <v>Altres</v>
      </c>
      <c r="Q393" s="236"/>
      <c r="R393" s="236"/>
      <c r="S393" s="236"/>
      <c r="T393" s="236"/>
      <c r="U393" s="236"/>
      <c r="V393" s="236"/>
      <c r="W393" s="236"/>
      <c r="X393" s="236"/>
      <c r="Y393" s="236"/>
      <c r="Z393" s="236"/>
      <c r="AA393" s="236"/>
      <c r="AB393" s="236"/>
      <c r="AC393" s="236"/>
      <c r="AD393" s="236"/>
      <c r="AE393" s="236"/>
      <c r="AF393" s="236"/>
    </row>
    <row r="394" spans="2:32" s="207" customFormat="1" x14ac:dyDescent="0.25">
      <c r="B394" s="236"/>
      <c r="C394" s="236" t="str">
        <f>Taules!C145</f>
        <v>TOTAL UPC</v>
      </c>
      <c r="D394" s="236">
        <f>Taules!D145</f>
        <v>3.3745781777277839E-3</v>
      </c>
      <c r="E394" s="236">
        <f>Taules!E145</f>
        <v>0.20416197975253092</v>
      </c>
      <c r="F394" s="236">
        <f>Taules!F145</f>
        <v>4.2182227221597299E-2</v>
      </c>
      <c r="G394" s="236">
        <f>Taules!G145</f>
        <v>3.937007874015748E-3</v>
      </c>
      <c r="H394" s="236">
        <f>Taules!H145</f>
        <v>4.8931383577052866E-2</v>
      </c>
      <c r="I394" s="236">
        <f>Taules!I145</f>
        <v>0.13667041619797526</v>
      </c>
      <c r="J394" s="236">
        <f>Taules!J145</f>
        <v>6.7491563554555678E-3</v>
      </c>
      <c r="K394" s="236">
        <f>Taules!K145</f>
        <v>2.4746906636670417E-2</v>
      </c>
      <c r="L394" s="236">
        <f>Taules!L145</f>
        <v>0.1203599550056243</v>
      </c>
      <c r="M394" s="236">
        <f>Taules!M145</f>
        <v>3.6557930258717661E-2</v>
      </c>
      <c r="N394" s="236">
        <f>Taules!N145</f>
        <v>0.10067491563554555</v>
      </c>
      <c r="O394" s="236">
        <f>Taules!O145</f>
        <v>4.5556805399325086E-2</v>
      </c>
      <c r="P394" s="236">
        <f>Taules!P145</f>
        <v>6.7491563554555678E-3</v>
      </c>
      <c r="Q394" s="236"/>
      <c r="R394" s="236"/>
      <c r="S394" s="236"/>
      <c r="T394" s="236"/>
      <c r="U394" s="236"/>
      <c r="V394" s="236"/>
      <c r="W394" s="236"/>
      <c r="X394" s="236"/>
      <c r="Y394" s="236"/>
      <c r="Z394" s="236"/>
      <c r="AA394" s="236"/>
      <c r="AB394" s="236"/>
      <c r="AC394" s="236"/>
      <c r="AD394" s="236"/>
      <c r="AE394" s="236"/>
      <c r="AF394" s="236"/>
    </row>
    <row r="395" spans="2:32" s="207" customFormat="1" x14ac:dyDescent="0.25">
      <c r="B395" s="236"/>
      <c r="C395" s="236"/>
      <c r="D395" s="236"/>
      <c r="E395" s="236"/>
      <c r="F395" s="236"/>
      <c r="G395" s="236"/>
      <c r="H395" s="236"/>
      <c r="I395" s="236"/>
      <c r="J395" s="236"/>
      <c r="K395" s="236"/>
      <c r="L395" s="236"/>
      <c r="M395" s="236"/>
      <c r="N395" s="236"/>
      <c r="O395" s="236"/>
      <c r="P395" s="236"/>
      <c r="Q395" s="236"/>
      <c r="R395" s="236"/>
      <c r="S395" s="236"/>
      <c r="T395" s="236"/>
      <c r="U395" s="236"/>
      <c r="V395" s="236"/>
      <c r="W395" s="236"/>
      <c r="X395" s="236"/>
      <c r="Y395" s="236"/>
      <c r="Z395" s="236"/>
      <c r="AA395" s="236"/>
      <c r="AB395" s="236"/>
      <c r="AC395" s="236"/>
      <c r="AD395" s="236"/>
      <c r="AE395" s="236"/>
      <c r="AF395" s="236"/>
    </row>
    <row r="396" spans="2:32" s="207" customFormat="1" x14ac:dyDescent="0.25">
      <c r="B396" s="236"/>
      <c r="C396" s="236">
        <f>C390</f>
        <v>0</v>
      </c>
      <c r="D396" s="236" t="str">
        <f>D390</f>
        <v>Respostes</v>
      </c>
      <c r="E396" s="236" t="s">
        <v>93</v>
      </c>
      <c r="F396" s="236" t="s">
        <v>97</v>
      </c>
      <c r="G396" s="236" t="s">
        <v>100</v>
      </c>
      <c r="H396" s="236" t="s">
        <v>102</v>
      </c>
      <c r="I396" s="236" t="s">
        <v>86</v>
      </c>
      <c r="J396" s="236" t="s">
        <v>96</v>
      </c>
      <c r="K396" s="236" t="s">
        <v>103</v>
      </c>
      <c r="L396" s="236" t="s">
        <v>82</v>
      </c>
      <c r="M396" s="236" t="s">
        <v>87</v>
      </c>
      <c r="N396" s="236" t="s">
        <v>94</v>
      </c>
      <c r="O396" s="236" t="s">
        <v>101</v>
      </c>
      <c r="P396" s="236" t="s">
        <v>99</v>
      </c>
      <c r="Q396" s="236" t="s">
        <v>84</v>
      </c>
      <c r="R396" s="236" t="s">
        <v>85</v>
      </c>
      <c r="S396" s="236" t="s">
        <v>88</v>
      </c>
      <c r="T396" s="236" t="s">
        <v>79</v>
      </c>
      <c r="U396" s="236" t="s">
        <v>98</v>
      </c>
      <c r="V396" s="236" t="s">
        <v>40</v>
      </c>
      <c r="W396" s="236" t="s">
        <v>89</v>
      </c>
      <c r="X396" s="236" t="s">
        <v>95</v>
      </c>
      <c r="Y396" s="236" t="s">
        <v>81</v>
      </c>
      <c r="Z396" s="236" t="s">
        <v>92</v>
      </c>
      <c r="AA396" s="236" t="s">
        <v>83</v>
      </c>
      <c r="AB396" s="236" t="s">
        <v>90</v>
      </c>
      <c r="AC396" s="236" t="s">
        <v>195</v>
      </c>
      <c r="AD396" s="236" t="s">
        <v>91</v>
      </c>
      <c r="AE396" s="236" t="s">
        <v>80</v>
      </c>
      <c r="AF396" s="236"/>
    </row>
    <row r="397" spans="2:32" s="207" customFormat="1" x14ac:dyDescent="0.25">
      <c r="B397" s="236"/>
      <c r="C397" s="236" t="str">
        <f>C391</f>
        <v>TOTAL UPC</v>
      </c>
      <c r="D397" s="236">
        <f>D391</f>
        <v>1778</v>
      </c>
      <c r="E397" s="236">
        <v>0.20416197975253092</v>
      </c>
      <c r="F397" s="236">
        <v>0.13667041619797526</v>
      </c>
      <c r="G397" s="236">
        <v>0.1203599550056243</v>
      </c>
      <c r="H397" s="236">
        <v>0.10067491563554555</v>
      </c>
      <c r="I397" s="236">
        <v>6.8053993250843645E-2</v>
      </c>
      <c r="J397" s="236">
        <v>4.8931383577052866E-2</v>
      </c>
      <c r="K397" s="236">
        <v>4.5556805399325086E-2</v>
      </c>
      <c r="L397" s="236">
        <v>4.4431946006749157E-2</v>
      </c>
      <c r="M397" s="236">
        <v>4.2182227221597299E-2</v>
      </c>
      <c r="N397" s="236">
        <v>4.2182227221597299E-2</v>
      </c>
      <c r="O397" s="236">
        <v>3.6557930258717661E-2</v>
      </c>
      <c r="P397" s="236">
        <v>2.4746906636670417E-2</v>
      </c>
      <c r="Q397" s="236">
        <v>1.5185601799775027E-2</v>
      </c>
      <c r="R397" s="236">
        <v>1.3498312710911136E-2</v>
      </c>
      <c r="S397" s="236">
        <v>1.3498312710911136E-2</v>
      </c>
      <c r="T397" s="236">
        <v>6.7491563554555678E-3</v>
      </c>
      <c r="U397" s="236">
        <v>6.7491563554555678E-3</v>
      </c>
      <c r="V397" s="236">
        <v>6.7491563554555678E-3</v>
      </c>
      <c r="W397" s="236">
        <v>5.6242969628796397E-3</v>
      </c>
      <c r="X397" s="236">
        <v>3.937007874015748E-3</v>
      </c>
      <c r="Y397" s="236">
        <v>3.3745781777277839E-3</v>
      </c>
      <c r="Z397" s="236">
        <v>3.3745781777277839E-3</v>
      </c>
      <c r="AA397" s="236">
        <v>2.8121484814398199E-3</v>
      </c>
      <c r="AB397" s="236">
        <v>1.687289088863892E-3</v>
      </c>
      <c r="AC397" s="236">
        <v>1.1248593925759281E-3</v>
      </c>
      <c r="AD397" s="236">
        <v>1.1248593925759281E-3</v>
      </c>
      <c r="AE397" s="236">
        <v>0</v>
      </c>
      <c r="AF397" s="236"/>
    </row>
    <row r="398" spans="2:32" s="207" customFormat="1" x14ac:dyDescent="0.25">
      <c r="B398" s="236"/>
      <c r="C398" s="236"/>
      <c r="D398" s="236"/>
      <c r="E398" s="236"/>
      <c r="F398" s="236"/>
      <c r="G398" s="236"/>
      <c r="H398" s="236"/>
      <c r="I398" s="236"/>
      <c r="J398" s="236"/>
      <c r="K398" s="236"/>
      <c r="L398" s="236"/>
      <c r="M398" s="236"/>
      <c r="N398" s="236"/>
      <c r="O398" s="236"/>
      <c r="P398" s="236"/>
      <c r="Q398" s="236"/>
      <c r="R398" s="236"/>
      <c r="S398" s="236"/>
      <c r="T398" s="236"/>
      <c r="U398" s="236"/>
      <c r="V398" s="236"/>
      <c r="W398" s="236"/>
      <c r="X398" s="236"/>
      <c r="Y398" s="236"/>
      <c r="Z398" s="236"/>
      <c r="AA398" s="236"/>
      <c r="AB398" s="236"/>
      <c r="AC398" s="236"/>
      <c r="AD398" s="236"/>
      <c r="AE398" s="236"/>
      <c r="AF398" s="236"/>
    </row>
    <row r="399" spans="2:32" s="207" customFormat="1" x14ac:dyDescent="0.25">
      <c r="B399" s="236"/>
      <c r="C399" s="236"/>
      <c r="D399" s="236"/>
      <c r="E399" s="236"/>
      <c r="F399" s="236"/>
      <c r="G399" s="236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  <c r="T399" s="236"/>
      <c r="U399" s="236"/>
      <c r="V399" s="236"/>
      <c r="W399" s="236"/>
      <c r="X399" s="236"/>
      <c r="Y399" s="236"/>
      <c r="Z399" s="236"/>
      <c r="AA399" s="236"/>
      <c r="AB399" s="236"/>
      <c r="AC399" s="236"/>
      <c r="AD399" s="236"/>
      <c r="AE399" s="236"/>
      <c r="AF399" s="236"/>
    </row>
    <row r="400" spans="2:32" s="207" customFormat="1" x14ac:dyDescent="0.25">
      <c r="B400" s="236"/>
      <c r="C400" s="236"/>
      <c r="D400" s="236"/>
      <c r="E400" s="236"/>
      <c r="F400" s="236"/>
      <c r="G400" s="236"/>
      <c r="H400" s="236"/>
      <c r="I400" s="236"/>
      <c r="J400" s="236"/>
      <c r="K400" s="236"/>
      <c r="L400" s="236"/>
      <c r="M400" s="236"/>
      <c r="N400" s="236"/>
      <c r="O400" s="236"/>
      <c r="P400" s="236"/>
      <c r="Q400" s="236"/>
      <c r="R400" s="236"/>
      <c r="S400" s="236"/>
      <c r="T400" s="236"/>
    </row>
    <row r="401" spans="2:20" s="207" customFormat="1" x14ac:dyDescent="0.25"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  <c r="M401" s="236"/>
      <c r="N401" s="236"/>
      <c r="O401" s="236"/>
      <c r="P401" s="236"/>
      <c r="Q401" s="236"/>
      <c r="R401" s="236"/>
      <c r="S401" s="236"/>
      <c r="T401" s="236"/>
    </row>
    <row r="402" spans="2:20" s="207" customFormat="1" x14ac:dyDescent="0.25">
      <c r="B402" s="236"/>
      <c r="C402" s="236"/>
      <c r="D402" s="236"/>
      <c r="E402" s="236"/>
      <c r="F402" s="236"/>
      <c r="G402" s="236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  <c r="S402" s="236"/>
      <c r="T402" s="236"/>
    </row>
    <row r="403" spans="2:20" s="207" customFormat="1" x14ac:dyDescent="0.25">
      <c r="B403" s="236"/>
      <c r="C403" s="236"/>
      <c r="D403" s="236"/>
      <c r="E403" s="236"/>
      <c r="F403" s="236"/>
      <c r="G403" s="236"/>
      <c r="H403" s="236"/>
      <c r="I403" s="236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  <c r="T403" s="236"/>
    </row>
    <row r="404" spans="2:20" s="207" customFormat="1" x14ac:dyDescent="0.25">
      <c r="B404" s="236"/>
      <c r="C404" s="236"/>
      <c r="D404" s="236"/>
      <c r="E404" s="236"/>
      <c r="F404" s="236"/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</row>
    <row r="405" spans="2:20" s="207" customFormat="1" x14ac:dyDescent="0.25">
      <c r="B405" s="236"/>
      <c r="C405" s="236"/>
      <c r="D405" s="236"/>
      <c r="E405" s="236"/>
      <c r="F405" s="236"/>
      <c r="G405" s="236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  <c r="T405" s="236"/>
    </row>
    <row r="406" spans="2:20" s="207" customFormat="1" x14ac:dyDescent="0.25">
      <c r="B406" s="236"/>
      <c r="C406" s="236"/>
      <c r="D406" s="236"/>
      <c r="E406" s="236"/>
      <c r="F406" s="236"/>
      <c r="G406" s="236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  <c r="T406" s="236"/>
    </row>
    <row r="407" spans="2:20" s="207" customFormat="1" x14ac:dyDescent="0.25">
      <c r="B407" s="236"/>
      <c r="C407" s="236"/>
      <c r="D407" s="236"/>
      <c r="E407" s="236"/>
      <c r="F407" s="236"/>
      <c r="G407" s="236"/>
      <c r="H407" s="236"/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  <c r="T407" s="236"/>
    </row>
    <row r="408" spans="2:20" s="207" customFormat="1" x14ac:dyDescent="0.25">
      <c r="B408" s="236"/>
      <c r="C408" s="236"/>
      <c r="D408" s="236"/>
      <c r="E408" s="236"/>
      <c r="F408" s="236"/>
      <c r="G408" s="236"/>
      <c r="H408" s="236"/>
      <c r="I408" s="236"/>
      <c r="J408" s="236"/>
      <c r="K408" s="236"/>
      <c r="L408" s="236"/>
      <c r="M408" s="236"/>
      <c r="N408" s="236"/>
      <c r="O408" s="236"/>
      <c r="P408" s="236"/>
      <c r="Q408" s="236"/>
      <c r="R408" s="236"/>
      <c r="S408" s="236"/>
      <c r="T408" s="236"/>
    </row>
    <row r="409" spans="2:20" s="207" customFormat="1" x14ac:dyDescent="0.25">
      <c r="B409" s="236"/>
      <c r="C409" s="236"/>
      <c r="D409" s="236"/>
      <c r="E409" s="236"/>
      <c r="F409" s="236"/>
      <c r="G409" s="236"/>
      <c r="H409" s="236"/>
      <c r="I409" s="236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  <c r="T409" s="236"/>
    </row>
    <row r="410" spans="2:20" s="207" customFormat="1" x14ac:dyDescent="0.25">
      <c r="B410" s="236"/>
      <c r="C410" s="236"/>
      <c r="D410" s="236"/>
      <c r="E410" s="236"/>
      <c r="F410" s="236"/>
      <c r="G410" s="236"/>
      <c r="H410" s="236"/>
      <c r="I410" s="236"/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  <c r="T410" s="236"/>
    </row>
    <row r="411" spans="2:20" s="207" customFormat="1" x14ac:dyDescent="0.25">
      <c r="B411" s="236"/>
      <c r="C411" s="236"/>
      <c r="D411" s="236"/>
      <c r="E411" s="236"/>
      <c r="F411" s="236"/>
      <c r="G411" s="236"/>
      <c r="H411" s="236"/>
      <c r="I411" s="236"/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  <c r="T411" s="236"/>
    </row>
    <row r="418" spans="2:23" ht="23.25" x14ac:dyDescent="0.35">
      <c r="C418" s="253" t="s">
        <v>257</v>
      </c>
    </row>
    <row r="419" spans="2:23" ht="21" x14ac:dyDescent="0.35">
      <c r="C419" s="260"/>
    </row>
    <row r="420" spans="2:23" s="207" customFormat="1" x14ac:dyDescent="0.25">
      <c r="B420" s="236"/>
      <c r="C420" s="236"/>
      <c r="D420" s="236"/>
      <c r="E420" s="236"/>
      <c r="F420" s="236"/>
      <c r="G420" s="236"/>
      <c r="H420" s="236"/>
      <c r="I420" s="236"/>
      <c r="J420" s="236"/>
      <c r="K420" s="236"/>
      <c r="L420" s="236"/>
      <c r="M420" s="236"/>
      <c r="N420" s="236"/>
      <c r="O420" s="236"/>
      <c r="P420" s="236"/>
      <c r="Q420" s="236"/>
      <c r="R420" s="236"/>
      <c r="S420" s="236"/>
      <c r="T420" s="236"/>
    </row>
    <row r="421" spans="2:23" s="207" customFormat="1" x14ac:dyDescent="0.25">
      <c r="B421" s="236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  <c r="M421" s="236"/>
      <c r="N421" s="236"/>
      <c r="O421" s="236"/>
      <c r="P421" s="236"/>
      <c r="Q421" s="236"/>
      <c r="R421" s="236"/>
      <c r="S421" s="236"/>
      <c r="T421" s="236"/>
    </row>
    <row r="422" spans="2:23" s="207" customFormat="1" ht="15" customHeight="1" x14ac:dyDescent="0.25">
      <c r="B422" s="236"/>
      <c r="C422" s="270"/>
      <c r="D422" s="379" t="s">
        <v>68</v>
      </c>
      <c r="E422" s="379"/>
      <c r="F422" s="379"/>
      <c r="G422" s="379"/>
      <c r="H422" s="379"/>
      <c r="I422" s="379"/>
      <c r="J422" s="379"/>
      <c r="K422" s="379"/>
      <c r="L422" s="236"/>
      <c r="M422" s="236"/>
      <c r="N422" s="236"/>
      <c r="O422" s="236"/>
      <c r="P422" s="236"/>
      <c r="Q422" s="236"/>
      <c r="R422" s="236"/>
      <c r="S422" s="236"/>
      <c r="T422" s="236"/>
    </row>
    <row r="423" spans="2:23" s="207" customFormat="1" ht="15" customHeight="1" x14ac:dyDescent="0.25">
      <c r="B423" s="236"/>
      <c r="C423" s="270">
        <f>Taules!C152</f>
        <v>0</v>
      </c>
      <c r="D423" s="271" t="s">
        <v>69</v>
      </c>
      <c r="E423" s="271" t="s">
        <v>70</v>
      </c>
      <c r="F423" s="271" t="s">
        <v>71</v>
      </c>
      <c r="G423" s="271" t="s">
        <v>72</v>
      </c>
      <c r="H423" s="271" t="s">
        <v>194</v>
      </c>
      <c r="I423" s="271" t="s">
        <v>73</v>
      </c>
      <c r="J423" s="271" t="s">
        <v>74</v>
      </c>
      <c r="K423" s="271" t="s">
        <v>75</v>
      </c>
      <c r="L423" s="236"/>
      <c r="M423" s="236"/>
      <c r="N423" s="236"/>
      <c r="O423" s="236"/>
      <c r="P423" s="236"/>
      <c r="Q423" s="236"/>
      <c r="R423" s="236"/>
      <c r="S423" s="236"/>
      <c r="T423" s="236"/>
    </row>
    <row r="424" spans="2:23" s="207" customFormat="1" ht="15" customHeight="1" x14ac:dyDescent="0.25">
      <c r="B424" s="236"/>
      <c r="C424" s="248" t="str">
        <f>Taules!C155</f>
        <v>TOTAL UPC</v>
      </c>
      <c r="D424" s="272">
        <f>Taules!F155</f>
        <v>4.677378701953371</v>
      </c>
      <c r="E424" s="273">
        <f>Taules!J155</f>
        <v>4.677378701953371</v>
      </c>
      <c r="F424" s="273">
        <f>Taules!N155</f>
        <v>3.7082545683679897</v>
      </c>
      <c r="G424" s="273">
        <f>Taules!R155</f>
        <v>4.9804662885948332</v>
      </c>
      <c r="H424" s="273">
        <f>Taules!F162</f>
        <v>5.3746051800379027</v>
      </c>
      <c r="I424" s="273">
        <f>Taules!J162</f>
        <v>4.9879974731522427</v>
      </c>
      <c r="J424" s="273">
        <f>Taules!N162</f>
        <v>5.2454258675078869</v>
      </c>
      <c r="K424" s="273">
        <f>Taules!R162</f>
        <v>4.9842370744010092</v>
      </c>
      <c r="L424" s="236"/>
      <c r="M424" s="236"/>
      <c r="N424" s="236"/>
      <c r="O424" s="236"/>
      <c r="P424" s="236"/>
      <c r="Q424" s="236"/>
      <c r="R424" s="236"/>
      <c r="S424" s="236"/>
      <c r="T424" s="236"/>
    </row>
    <row r="425" spans="2:23" s="207" customFormat="1" x14ac:dyDescent="0.25">
      <c r="B425" s="236"/>
      <c r="C425" s="274"/>
      <c r="D425" s="275"/>
      <c r="E425" s="275"/>
      <c r="F425" s="275"/>
      <c r="G425" s="275"/>
      <c r="H425" s="275"/>
      <c r="I425" s="275"/>
      <c r="J425" s="275"/>
      <c r="K425" s="275"/>
      <c r="L425" s="236"/>
      <c r="M425" s="236"/>
      <c r="N425" s="236"/>
      <c r="O425" s="236"/>
      <c r="P425" s="236"/>
      <c r="Q425" s="236"/>
      <c r="R425" s="236"/>
      <c r="S425" s="236"/>
      <c r="T425" s="236"/>
    </row>
    <row r="426" spans="2:23" s="207" customFormat="1" x14ac:dyDescent="0.25">
      <c r="B426" s="236"/>
      <c r="C426" s="236"/>
      <c r="D426" s="236"/>
      <c r="E426" s="236"/>
      <c r="F426" s="236"/>
      <c r="G426" s="236"/>
      <c r="H426" s="276"/>
      <c r="I426" s="276"/>
      <c r="J426" s="277"/>
      <c r="K426" s="278"/>
      <c r="L426" s="277"/>
      <c r="M426" s="276"/>
      <c r="N426" s="278"/>
      <c r="O426" s="277"/>
      <c r="P426" s="276"/>
      <c r="Q426" s="276"/>
      <c r="R426" s="278"/>
      <c r="S426" s="278"/>
      <c r="T426" s="278"/>
      <c r="U426" s="208"/>
      <c r="V426" s="209"/>
      <c r="W426" s="209"/>
    </row>
    <row r="427" spans="2:23" s="207" customFormat="1" x14ac:dyDescent="0.25">
      <c r="B427" s="236"/>
      <c r="C427" s="236"/>
      <c r="D427" s="236"/>
      <c r="E427" s="279"/>
      <c r="F427" s="279"/>
      <c r="G427" s="279"/>
      <c r="H427" s="279"/>
      <c r="I427" s="279"/>
      <c r="J427" s="279"/>
      <c r="K427" s="279"/>
      <c r="L427" s="279"/>
      <c r="M427" s="236"/>
      <c r="N427" s="236"/>
      <c r="O427" s="236"/>
      <c r="P427" s="236"/>
      <c r="Q427" s="236"/>
      <c r="R427" s="236"/>
      <c r="S427" s="236"/>
      <c r="T427" s="236"/>
    </row>
    <row r="428" spans="2:23" s="207" customFormat="1" x14ac:dyDescent="0.25">
      <c r="B428" s="236"/>
      <c r="C428" s="236"/>
      <c r="D428" s="236"/>
      <c r="E428" s="279"/>
      <c r="F428" s="279"/>
      <c r="G428" s="279"/>
      <c r="H428" s="279"/>
      <c r="I428" s="279"/>
      <c r="J428" s="279"/>
      <c r="K428" s="279"/>
      <c r="L428" s="279"/>
      <c r="M428" s="236"/>
      <c r="N428" s="236"/>
      <c r="O428" s="236"/>
      <c r="P428" s="236"/>
      <c r="Q428" s="236"/>
      <c r="R428" s="236"/>
      <c r="S428" s="236"/>
      <c r="T428" s="236"/>
    </row>
    <row r="429" spans="2:23" s="207" customFormat="1" x14ac:dyDescent="0.25">
      <c r="B429" s="236"/>
      <c r="C429" s="236"/>
      <c r="D429" s="236"/>
      <c r="E429" s="279"/>
      <c r="F429" s="279"/>
      <c r="G429" s="236"/>
      <c r="H429" s="236"/>
      <c r="I429" s="236"/>
      <c r="J429" s="236"/>
      <c r="K429" s="236"/>
      <c r="L429" s="236"/>
      <c r="M429" s="236"/>
      <c r="N429" s="236"/>
      <c r="O429" s="236"/>
      <c r="P429" s="236"/>
      <c r="Q429" s="236"/>
      <c r="R429" s="236"/>
      <c r="S429" s="236"/>
      <c r="T429" s="236"/>
    </row>
    <row r="430" spans="2:23" s="207" customFormat="1" x14ac:dyDescent="0.25">
      <c r="B430" s="236"/>
      <c r="C430" s="236"/>
      <c r="D430" s="236"/>
      <c r="E430" s="279"/>
      <c r="F430" s="279"/>
      <c r="G430" s="236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236"/>
      <c r="S430" s="236"/>
      <c r="T430" s="236"/>
    </row>
    <row r="431" spans="2:23" s="207" customFormat="1" x14ac:dyDescent="0.25">
      <c r="B431" s="236"/>
      <c r="C431" s="236"/>
      <c r="D431" s="236"/>
      <c r="E431" s="236"/>
      <c r="F431" s="236"/>
      <c r="G431" s="236"/>
      <c r="H431" s="236"/>
      <c r="I431" s="236"/>
      <c r="J431" s="236"/>
      <c r="K431" s="236"/>
      <c r="L431" s="236"/>
      <c r="M431" s="236"/>
      <c r="N431" s="236"/>
      <c r="O431" s="236"/>
      <c r="P431" s="236"/>
      <c r="Q431" s="236"/>
      <c r="R431" s="236"/>
      <c r="S431" s="236"/>
      <c r="T431" s="236"/>
    </row>
    <row r="432" spans="2:23" s="207" customFormat="1" x14ac:dyDescent="0.25">
      <c r="B432" s="236"/>
      <c r="C432" s="236"/>
      <c r="D432" s="236"/>
      <c r="E432" s="236"/>
      <c r="F432" s="236"/>
      <c r="G432" s="236"/>
      <c r="H432" s="236"/>
      <c r="I432" s="236"/>
      <c r="J432" s="236"/>
      <c r="K432" s="236"/>
      <c r="L432" s="236"/>
      <c r="M432" s="236"/>
      <c r="N432" s="236"/>
      <c r="O432" s="236"/>
      <c r="P432" s="236"/>
      <c r="Q432" s="236"/>
      <c r="R432" s="236"/>
      <c r="S432" s="236"/>
      <c r="T432" s="236"/>
    </row>
    <row r="433" spans="2:20" s="207" customFormat="1" x14ac:dyDescent="0.25">
      <c r="B433" s="236"/>
      <c r="C433" s="236"/>
      <c r="D433" s="236"/>
      <c r="E433" s="236"/>
      <c r="F433" s="236"/>
      <c r="G433" s="236"/>
      <c r="H433" s="236"/>
      <c r="I433" s="236"/>
      <c r="J433" s="236"/>
      <c r="K433" s="236"/>
      <c r="L433" s="236"/>
      <c r="M433" s="236"/>
      <c r="N433" s="236"/>
      <c r="O433" s="236"/>
      <c r="P433" s="236"/>
      <c r="Q433" s="236"/>
      <c r="R433" s="236"/>
      <c r="S433" s="236"/>
      <c r="T433" s="236"/>
    </row>
    <row r="434" spans="2:20" s="207" customFormat="1" x14ac:dyDescent="0.25">
      <c r="B434" s="236"/>
      <c r="C434" s="236"/>
      <c r="D434" s="236"/>
      <c r="E434" s="236"/>
      <c r="F434" s="236"/>
      <c r="G434" s="236"/>
      <c r="H434" s="236"/>
      <c r="I434" s="236"/>
      <c r="J434" s="236"/>
      <c r="K434" s="236"/>
      <c r="L434" s="236"/>
      <c r="M434" s="236"/>
      <c r="N434" s="236"/>
      <c r="O434" s="236"/>
      <c r="P434" s="236"/>
      <c r="Q434" s="236"/>
      <c r="R434" s="236"/>
      <c r="S434" s="236"/>
      <c r="T434" s="236"/>
    </row>
    <row r="435" spans="2:20" s="207" customFormat="1" x14ac:dyDescent="0.25">
      <c r="B435" s="236"/>
      <c r="C435" s="236"/>
      <c r="D435" s="236"/>
      <c r="E435" s="236"/>
      <c r="F435" s="236"/>
      <c r="G435" s="236"/>
      <c r="H435" s="236"/>
      <c r="I435" s="236"/>
      <c r="J435" s="236"/>
      <c r="K435" s="236"/>
      <c r="L435" s="236"/>
      <c r="M435" s="236"/>
      <c r="N435" s="236"/>
      <c r="O435" s="236"/>
      <c r="P435" s="236"/>
      <c r="Q435" s="236"/>
      <c r="R435" s="236"/>
      <c r="S435" s="236"/>
      <c r="T435" s="236"/>
    </row>
    <row r="436" spans="2:20" s="207" customFormat="1" x14ac:dyDescent="0.25">
      <c r="B436" s="236"/>
      <c r="C436" s="236"/>
      <c r="D436" s="236"/>
      <c r="E436" s="236"/>
      <c r="F436" s="236"/>
      <c r="G436" s="236"/>
      <c r="H436" s="236"/>
      <c r="I436" s="236"/>
      <c r="J436" s="236"/>
      <c r="K436" s="236"/>
      <c r="L436" s="236"/>
      <c r="M436" s="236"/>
      <c r="N436" s="236"/>
      <c r="O436" s="236"/>
      <c r="P436" s="236"/>
      <c r="Q436" s="236"/>
      <c r="R436" s="236"/>
      <c r="S436" s="236"/>
      <c r="T436" s="236"/>
    </row>
    <row r="437" spans="2:20" s="207" customFormat="1" x14ac:dyDescent="0.25">
      <c r="B437" s="236"/>
      <c r="C437" s="236"/>
      <c r="D437" s="236"/>
      <c r="E437" s="236"/>
      <c r="F437" s="236"/>
      <c r="G437" s="236"/>
      <c r="H437" s="236"/>
      <c r="I437" s="236"/>
      <c r="J437" s="236"/>
      <c r="K437" s="236"/>
      <c r="L437" s="236"/>
      <c r="M437" s="236"/>
      <c r="N437" s="236"/>
      <c r="O437" s="236"/>
      <c r="P437" s="236"/>
      <c r="Q437" s="236"/>
      <c r="R437" s="236"/>
      <c r="S437" s="236"/>
      <c r="T437" s="236"/>
    </row>
    <row r="438" spans="2:20" s="207" customFormat="1" x14ac:dyDescent="0.25">
      <c r="B438" s="236"/>
      <c r="C438" s="236"/>
      <c r="D438" s="236"/>
      <c r="E438" s="236"/>
      <c r="F438" s="236"/>
      <c r="G438" s="236"/>
      <c r="H438" s="236"/>
      <c r="I438" s="236"/>
      <c r="J438" s="236"/>
      <c r="K438" s="236"/>
      <c r="L438" s="236"/>
      <c r="M438" s="236"/>
      <c r="N438" s="236"/>
      <c r="O438" s="236"/>
      <c r="P438" s="236"/>
      <c r="Q438" s="236"/>
      <c r="R438" s="236"/>
      <c r="S438" s="236"/>
      <c r="T438" s="236"/>
    </row>
    <row r="439" spans="2:20" s="207" customFormat="1" x14ac:dyDescent="0.25">
      <c r="B439" s="236"/>
      <c r="C439" s="236"/>
      <c r="D439" s="236"/>
      <c r="E439" s="236"/>
      <c r="F439" s="236"/>
      <c r="G439" s="236"/>
      <c r="H439" s="236"/>
      <c r="I439" s="236"/>
      <c r="J439" s="236"/>
      <c r="K439" s="236"/>
      <c r="L439" s="236"/>
      <c r="M439" s="236"/>
      <c r="N439" s="236"/>
      <c r="O439" s="236"/>
      <c r="P439" s="236"/>
      <c r="Q439" s="236"/>
      <c r="R439" s="236"/>
      <c r="S439" s="236"/>
      <c r="T439" s="236"/>
    </row>
    <row r="440" spans="2:20" s="207" customFormat="1" x14ac:dyDescent="0.25">
      <c r="B440" s="236"/>
      <c r="C440" s="236"/>
      <c r="D440" s="236"/>
      <c r="E440" s="236"/>
      <c r="F440" s="236"/>
      <c r="G440" s="236"/>
      <c r="H440" s="236"/>
      <c r="I440" s="236"/>
      <c r="J440" s="236"/>
      <c r="K440" s="236"/>
      <c r="L440" s="236"/>
      <c r="M440" s="236"/>
      <c r="N440" s="236"/>
      <c r="O440" s="236"/>
      <c r="P440" s="236"/>
      <c r="Q440" s="236"/>
      <c r="R440" s="236"/>
      <c r="S440" s="236"/>
      <c r="T440" s="236"/>
    </row>
    <row r="449" spans="2:20" ht="23.25" x14ac:dyDescent="0.35">
      <c r="C449" s="253" t="s">
        <v>305</v>
      </c>
    </row>
    <row r="452" spans="2:20" s="207" customFormat="1" x14ac:dyDescent="0.25">
      <c r="B452" s="236"/>
      <c r="C452" s="270"/>
      <c r="D452" s="270" t="s">
        <v>197</v>
      </c>
      <c r="E452" s="270" t="s">
        <v>198</v>
      </c>
      <c r="F452" s="270" t="s">
        <v>199</v>
      </c>
      <c r="G452" s="270" t="s">
        <v>200</v>
      </c>
      <c r="H452" s="270" t="s">
        <v>201</v>
      </c>
      <c r="I452" s="236"/>
      <c r="J452" s="236"/>
      <c r="K452" s="236"/>
      <c r="L452" s="236"/>
      <c r="M452" s="236"/>
      <c r="N452" s="236"/>
      <c r="O452" s="236"/>
      <c r="P452" s="236"/>
      <c r="Q452" s="236"/>
      <c r="R452" s="236"/>
      <c r="S452" s="236"/>
      <c r="T452" s="236"/>
    </row>
    <row r="453" spans="2:20" s="207" customFormat="1" x14ac:dyDescent="0.25">
      <c r="B453" s="236"/>
      <c r="C453" s="248" t="str">
        <f>Taules!C173</f>
        <v>TOTAL UPC</v>
      </c>
      <c r="D453" s="272">
        <f>Taules!F173</f>
        <v>5.4970297029702975</v>
      </c>
      <c r="E453" s="272">
        <f>Taules!J173</f>
        <v>4.6486129458388374</v>
      </c>
      <c r="F453" s="272">
        <f>Taules!N173</f>
        <v>4.5300330033003302</v>
      </c>
      <c r="G453" s="272">
        <f>Taules!R173</f>
        <v>4.6145214521452145</v>
      </c>
      <c r="H453" s="272">
        <f>Taules!V173</f>
        <v>5.2647058823529411</v>
      </c>
      <c r="I453" s="236"/>
      <c r="J453" s="236"/>
      <c r="K453" s="236"/>
      <c r="L453" s="236"/>
      <c r="M453" s="236"/>
      <c r="N453" s="236"/>
      <c r="O453" s="236"/>
      <c r="P453" s="236"/>
      <c r="Q453" s="236"/>
      <c r="R453" s="236"/>
      <c r="S453" s="236"/>
      <c r="T453" s="236"/>
    </row>
    <row r="454" spans="2:20" s="207" customFormat="1" x14ac:dyDescent="0.25">
      <c r="B454" s="236"/>
      <c r="C454" s="274"/>
      <c r="D454" s="280"/>
      <c r="E454" s="280"/>
      <c r="F454" s="280"/>
      <c r="G454" s="280"/>
      <c r="H454" s="280"/>
      <c r="I454" s="236"/>
      <c r="J454" s="236"/>
      <c r="K454" s="236"/>
      <c r="L454" s="236"/>
      <c r="M454" s="236"/>
      <c r="N454" s="236"/>
      <c r="O454" s="236"/>
      <c r="P454" s="236"/>
      <c r="Q454" s="236"/>
      <c r="R454" s="236"/>
      <c r="S454" s="236"/>
      <c r="T454" s="236"/>
    </row>
    <row r="455" spans="2:20" s="207" customFormat="1" x14ac:dyDescent="0.25">
      <c r="B455" s="236"/>
      <c r="C455" s="236"/>
      <c r="D455" s="236"/>
      <c r="E455" s="236"/>
      <c r="F455" s="236"/>
      <c r="G455" s="236"/>
      <c r="H455" s="236"/>
      <c r="I455" s="236"/>
      <c r="J455" s="236"/>
      <c r="K455" s="236"/>
      <c r="L455" s="236"/>
      <c r="M455" s="236"/>
      <c r="N455" s="236"/>
      <c r="O455" s="236"/>
      <c r="P455" s="236"/>
      <c r="Q455" s="236"/>
      <c r="R455" s="236"/>
      <c r="S455" s="236"/>
      <c r="T455" s="236"/>
    </row>
    <row r="456" spans="2:20" s="207" customFormat="1" x14ac:dyDescent="0.25">
      <c r="B456" s="236"/>
      <c r="C456" s="236"/>
      <c r="D456" s="236"/>
      <c r="E456" s="236"/>
      <c r="F456" s="236"/>
      <c r="G456" s="236"/>
      <c r="H456" s="236"/>
      <c r="I456" s="279"/>
      <c r="J456" s="279"/>
      <c r="K456" s="279"/>
      <c r="L456" s="279"/>
      <c r="M456" s="279"/>
      <c r="N456" s="236"/>
      <c r="O456" s="236"/>
      <c r="P456" s="236"/>
      <c r="Q456" s="236"/>
      <c r="R456" s="236"/>
      <c r="S456" s="236"/>
      <c r="T456" s="236"/>
    </row>
    <row r="457" spans="2:20" s="207" customFormat="1" x14ac:dyDescent="0.25">
      <c r="B457" s="236"/>
      <c r="C457" s="236"/>
      <c r="D457" s="236"/>
      <c r="E457" s="236"/>
      <c r="F457" s="236"/>
      <c r="G457" s="236"/>
      <c r="H457" s="236"/>
      <c r="I457" s="279"/>
      <c r="J457" s="279"/>
      <c r="K457" s="279"/>
      <c r="L457" s="279"/>
      <c r="M457" s="279"/>
      <c r="N457" s="236"/>
      <c r="O457" s="236"/>
      <c r="P457" s="236"/>
      <c r="Q457" s="236"/>
      <c r="R457" s="236"/>
      <c r="S457" s="236"/>
      <c r="T457" s="236"/>
    </row>
    <row r="458" spans="2:20" s="207" customFormat="1" x14ac:dyDescent="0.25">
      <c r="B458" s="236"/>
      <c r="C458" s="236"/>
      <c r="D458" s="236"/>
      <c r="E458" s="236"/>
      <c r="F458" s="236"/>
      <c r="G458" s="236"/>
      <c r="H458" s="236"/>
      <c r="I458" s="279"/>
      <c r="J458" s="279"/>
      <c r="K458" s="279"/>
      <c r="L458" s="279"/>
      <c r="M458" s="279"/>
      <c r="N458" s="236"/>
      <c r="O458" s="236"/>
      <c r="P458" s="236"/>
      <c r="Q458" s="236"/>
      <c r="R458" s="236"/>
      <c r="S458" s="236"/>
      <c r="T458" s="236"/>
    </row>
    <row r="459" spans="2:20" s="207" customFormat="1" x14ac:dyDescent="0.25">
      <c r="B459" s="236"/>
      <c r="C459" s="236"/>
      <c r="D459" s="236"/>
      <c r="E459" s="236"/>
      <c r="F459" s="236"/>
      <c r="G459" s="236"/>
      <c r="H459" s="236"/>
      <c r="I459" s="279"/>
      <c r="J459" s="279"/>
      <c r="K459" s="279"/>
      <c r="L459" s="279"/>
      <c r="M459" s="279"/>
      <c r="N459" s="236"/>
      <c r="O459" s="236"/>
      <c r="P459" s="236"/>
      <c r="Q459" s="236"/>
      <c r="R459" s="236"/>
      <c r="S459" s="236"/>
      <c r="T459" s="236"/>
    </row>
    <row r="460" spans="2:20" s="207" customFormat="1" x14ac:dyDescent="0.25">
      <c r="B460" s="236"/>
      <c r="C460" s="236"/>
      <c r="D460" s="236"/>
      <c r="E460" s="236"/>
      <c r="F460" s="236"/>
      <c r="G460" s="236"/>
      <c r="H460" s="236"/>
      <c r="I460" s="236"/>
      <c r="J460" s="236"/>
      <c r="K460" s="236"/>
      <c r="L460" s="236"/>
      <c r="M460" s="236"/>
      <c r="N460" s="236"/>
      <c r="O460" s="236"/>
      <c r="P460" s="236"/>
      <c r="Q460" s="236"/>
      <c r="R460" s="236"/>
      <c r="S460" s="236"/>
      <c r="T460" s="236"/>
    </row>
    <row r="461" spans="2:20" s="207" customFormat="1" x14ac:dyDescent="0.25">
      <c r="B461" s="236"/>
      <c r="C461" s="236"/>
      <c r="D461" s="236"/>
      <c r="E461" s="236"/>
      <c r="F461" s="236"/>
      <c r="G461" s="236"/>
      <c r="H461" s="236"/>
      <c r="I461" s="236"/>
      <c r="J461" s="236"/>
      <c r="K461" s="236"/>
      <c r="L461" s="236"/>
      <c r="M461" s="236"/>
      <c r="N461" s="236"/>
      <c r="O461" s="236"/>
      <c r="P461" s="236"/>
      <c r="Q461" s="236"/>
      <c r="R461" s="236"/>
      <c r="S461" s="236"/>
      <c r="T461" s="236"/>
    </row>
    <row r="462" spans="2:20" s="207" customFormat="1" x14ac:dyDescent="0.25">
      <c r="B462" s="236"/>
      <c r="C462" s="236"/>
      <c r="D462" s="236"/>
      <c r="E462" s="236"/>
      <c r="F462" s="236"/>
      <c r="G462" s="236"/>
      <c r="H462" s="236"/>
      <c r="I462" s="236"/>
      <c r="J462" s="236"/>
      <c r="K462" s="236"/>
      <c r="L462" s="236"/>
      <c r="M462" s="236"/>
      <c r="N462" s="236"/>
      <c r="O462" s="236"/>
      <c r="P462" s="236"/>
      <c r="Q462" s="236"/>
      <c r="R462" s="236"/>
      <c r="S462" s="236"/>
      <c r="T462" s="236"/>
    </row>
    <row r="463" spans="2:20" s="207" customFormat="1" x14ac:dyDescent="0.25">
      <c r="B463" s="236"/>
      <c r="C463" s="236"/>
      <c r="D463" s="236"/>
      <c r="E463" s="236"/>
      <c r="F463" s="236"/>
      <c r="G463" s="236"/>
      <c r="H463" s="236"/>
      <c r="I463" s="236"/>
      <c r="J463" s="236"/>
      <c r="K463" s="236"/>
      <c r="L463" s="236"/>
      <c r="M463" s="236"/>
      <c r="N463" s="236"/>
      <c r="O463" s="236"/>
      <c r="P463" s="236"/>
      <c r="Q463" s="236"/>
      <c r="R463" s="236"/>
      <c r="S463" s="236"/>
      <c r="T463" s="236"/>
    </row>
    <row r="464" spans="2:20" s="207" customFormat="1" x14ac:dyDescent="0.25">
      <c r="B464" s="236"/>
      <c r="C464" s="236"/>
      <c r="D464" s="236"/>
      <c r="E464" s="236"/>
      <c r="F464" s="236"/>
      <c r="G464" s="236"/>
      <c r="H464" s="236"/>
      <c r="I464" s="236"/>
      <c r="J464" s="236"/>
      <c r="K464" s="236"/>
      <c r="L464" s="236"/>
      <c r="M464" s="236"/>
      <c r="N464" s="236"/>
      <c r="O464" s="236"/>
      <c r="P464" s="236"/>
      <c r="Q464" s="236"/>
      <c r="R464" s="236"/>
      <c r="S464" s="236"/>
      <c r="T464" s="236"/>
    </row>
    <row r="465" spans="2:20" s="207" customFormat="1" x14ac:dyDescent="0.25">
      <c r="B465" s="236"/>
      <c r="C465" s="236"/>
      <c r="D465" s="236"/>
      <c r="E465" s="236"/>
      <c r="F465" s="236"/>
      <c r="G465" s="236"/>
      <c r="H465" s="236"/>
      <c r="I465" s="236"/>
      <c r="J465" s="236"/>
      <c r="K465" s="236"/>
      <c r="L465" s="236"/>
      <c r="M465" s="236"/>
      <c r="N465" s="236"/>
      <c r="O465" s="236"/>
      <c r="P465" s="236"/>
      <c r="Q465" s="236"/>
      <c r="R465" s="236"/>
      <c r="S465" s="236"/>
      <c r="T465" s="236"/>
    </row>
    <row r="466" spans="2:20" s="207" customFormat="1" x14ac:dyDescent="0.25">
      <c r="B466" s="236"/>
      <c r="C466" s="236"/>
      <c r="D466" s="236"/>
      <c r="E466" s="236"/>
      <c r="F466" s="236"/>
      <c r="G466" s="236"/>
      <c r="H466" s="236"/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  <c r="T466" s="236"/>
    </row>
    <row r="467" spans="2:20" s="207" customFormat="1" x14ac:dyDescent="0.25">
      <c r="B467" s="236"/>
      <c r="C467" s="236"/>
      <c r="D467" s="236"/>
      <c r="E467" s="236"/>
      <c r="F467" s="236"/>
      <c r="G467" s="236"/>
      <c r="H467" s="236"/>
      <c r="I467" s="236"/>
      <c r="J467" s="236"/>
      <c r="K467" s="236"/>
      <c r="L467" s="236"/>
      <c r="M467" s="236"/>
      <c r="N467" s="236"/>
      <c r="O467" s="236"/>
      <c r="P467" s="236"/>
      <c r="Q467" s="236"/>
      <c r="R467" s="236"/>
      <c r="S467" s="236"/>
      <c r="T467" s="236"/>
    </row>
    <row r="468" spans="2:20" s="207" customFormat="1" x14ac:dyDescent="0.25">
      <c r="B468" s="236"/>
      <c r="C468" s="236"/>
      <c r="D468" s="236"/>
      <c r="E468" s="236"/>
      <c r="F468" s="236"/>
      <c r="G468" s="236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  <c r="T468" s="236"/>
    </row>
    <row r="469" spans="2:20" s="207" customFormat="1" x14ac:dyDescent="0.25">
      <c r="B469" s="236"/>
      <c r="C469" s="236"/>
      <c r="D469" s="236"/>
      <c r="E469" s="236"/>
      <c r="F469" s="236"/>
      <c r="G469" s="236"/>
      <c r="H469" s="236"/>
      <c r="I469" s="236"/>
      <c r="J469" s="236"/>
      <c r="K469" s="236"/>
      <c r="L469" s="236"/>
      <c r="M469" s="236"/>
      <c r="N469" s="236"/>
      <c r="O469" s="236"/>
      <c r="P469" s="236"/>
      <c r="Q469" s="236"/>
      <c r="R469" s="236"/>
      <c r="S469" s="236"/>
      <c r="T469" s="236"/>
    </row>
    <row r="476" spans="2:20" ht="23.25" x14ac:dyDescent="0.35">
      <c r="C476" s="253" t="s">
        <v>306</v>
      </c>
    </row>
    <row r="478" spans="2:20" ht="21" x14ac:dyDescent="0.25">
      <c r="C478" s="235" t="s">
        <v>258</v>
      </c>
    </row>
    <row r="480" spans="2:20" s="207" customFormat="1" x14ac:dyDescent="0.25">
      <c r="B480" s="236"/>
      <c r="C480" s="236"/>
      <c r="D480" s="236"/>
      <c r="E480" s="236"/>
      <c r="F480" s="236"/>
      <c r="G480" s="236"/>
      <c r="H480" s="236"/>
      <c r="I480" s="236"/>
      <c r="J480" s="236"/>
      <c r="K480" s="236"/>
      <c r="L480" s="236"/>
      <c r="M480" s="236"/>
      <c r="N480" s="236"/>
      <c r="O480" s="236"/>
      <c r="P480" s="236"/>
      <c r="Q480" s="236"/>
      <c r="R480" s="236"/>
      <c r="S480" s="236"/>
      <c r="T480" s="236"/>
    </row>
    <row r="481" spans="2:20" s="207" customFormat="1" x14ac:dyDescent="0.25">
      <c r="B481" s="236"/>
      <c r="C481" s="270"/>
      <c r="D481" s="270" t="s">
        <v>126</v>
      </c>
      <c r="E481" s="270"/>
      <c r="F481" s="270"/>
      <c r="G481" s="270"/>
      <c r="H481" s="270"/>
      <c r="I481" s="270"/>
      <c r="J481" s="236"/>
      <c r="K481" s="236"/>
      <c r="L481" s="236"/>
      <c r="M481" s="236"/>
      <c r="N481" s="236"/>
      <c r="O481" s="236"/>
      <c r="P481" s="236"/>
      <c r="Q481" s="236"/>
      <c r="R481" s="236"/>
      <c r="S481" s="236"/>
      <c r="T481" s="236"/>
    </row>
    <row r="482" spans="2:20" s="207" customFormat="1" x14ac:dyDescent="0.25">
      <c r="B482" s="236"/>
      <c r="C482" s="270"/>
      <c r="D482" s="270" t="s">
        <v>127</v>
      </c>
      <c r="E482" s="270"/>
      <c r="F482" s="270" t="s">
        <v>128</v>
      </c>
      <c r="G482" s="270"/>
      <c r="H482" s="270" t="s">
        <v>340</v>
      </c>
      <c r="I482" s="270"/>
      <c r="J482" s="236"/>
      <c r="K482" s="236"/>
      <c r="L482" s="236"/>
      <c r="M482" s="236"/>
      <c r="N482" s="236"/>
      <c r="O482" s="236"/>
      <c r="P482" s="236"/>
      <c r="Q482" s="236"/>
      <c r="R482" s="236"/>
      <c r="S482" s="236"/>
      <c r="T482" s="236"/>
    </row>
    <row r="483" spans="2:20" s="207" customFormat="1" x14ac:dyDescent="0.25">
      <c r="B483" s="236"/>
      <c r="C483" s="270"/>
      <c r="D483" s="270" t="s">
        <v>129</v>
      </c>
      <c r="E483" s="270" t="s">
        <v>130</v>
      </c>
      <c r="F483" s="270" t="s">
        <v>129</v>
      </c>
      <c r="G483" s="270" t="s">
        <v>130</v>
      </c>
      <c r="H483" s="270" t="s">
        <v>381</v>
      </c>
      <c r="I483" s="270" t="s">
        <v>341</v>
      </c>
      <c r="J483" s="236"/>
      <c r="K483" s="236"/>
      <c r="L483" s="236"/>
      <c r="M483" s="236"/>
      <c r="N483" s="236"/>
      <c r="O483" s="236"/>
      <c r="P483" s="236"/>
      <c r="Q483" s="236"/>
      <c r="R483" s="236"/>
      <c r="S483" s="236"/>
      <c r="T483" s="236"/>
    </row>
    <row r="484" spans="2:20" s="207" customFormat="1" x14ac:dyDescent="0.25">
      <c r="B484" s="236"/>
      <c r="C484" s="248" t="str">
        <f>Taules!C186</f>
        <v>TOTAL UPC</v>
      </c>
      <c r="D484" s="272">
        <f>Taules!E186</f>
        <v>5.1799775028121484</v>
      </c>
      <c r="E484" s="272">
        <f>Taules!I186</f>
        <v>4.267867191896455</v>
      </c>
      <c r="F484" s="272">
        <f>Taules!L186</f>
        <v>4.0359955005624295</v>
      </c>
      <c r="G484" s="272">
        <f>Taules!N186</f>
        <v>4.140607424071991</v>
      </c>
      <c r="H484" s="272">
        <f>D484-E484</f>
        <v>0.91211031091569339</v>
      </c>
      <c r="I484" s="272">
        <f>E484-F484</f>
        <v>0.23187169133402552</v>
      </c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  <c r="T484" s="236"/>
    </row>
    <row r="485" spans="2:20" s="207" customFormat="1" x14ac:dyDescent="0.25">
      <c r="B485" s="236"/>
      <c r="C485" s="236"/>
      <c r="D485" s="236"/>
      <c r="E485" s="236"/>
      <c r="F485" s="236"/>
      <c r="G485" s="236"/>
      <c r="H485" s="236"/>
      <c r="I485" s="236"/>
      <c r="J485" s="236"/>
      <c r="K485" s="236"/>
      <c r="L485" s="236"/>
      <c r="M485" s="281"/>
      <c r="N485" s="281"/>
      <c r="O485" s="236"/>
      <c r="P485" s="236"/>
      <c r="Q485" s="236"/>
      <c r="R485" s="236"/>
      <c r="S485" s="236"/>
      <c r="T485" s="236"/>
    </row>
    <row r="486" spans="2:20" s="207" customFormat="1" x14ac:dyDescent="0.25">
      <c r="B486" s="236"/>
      <c r="C486" s="236"/>
      <c r="D486" s="236"/>
      <c r="E486" s="236"/>
      <c r="F486" s="236"/>
      <c r="G486" s="236"/>
      <c r="H486" s="236"/>
      <c r="I486" s="236"/>
      <c r="J486" s="236"/>
      <c r="K486" s="236"/>
      <c r="L486" s="236"/>
      <c r="M486" s="281"/>
      <c r="N486" s="281"/>
      <c r="O486" s="236"/>
      <c r="P486" s="236"/>
      <c r="Q486" s="236"/>
      <c r="R486" s="236"/>
      <c r="S486" s="236"/>
      <c r="T486" s="236"/>
    </row>
    <row r="487" spans="2:20" s="207" customFormat="1" x14ac:dyDescent="0.25">
      <c r="B487" s="236"/>
      <c r="C487" s="236"/>
      <c r="D487" s="236"/>
      <c r="E487" s="236"/>
      <c r="F487" s="236"/>
      <c r="G487" s="236"/>
      <c r="H487" s="236"/>
      <c r="I487" s="236"/>
      <c r="J487" s="236"/>
      <c r="K487" s="236"/>
      <c r="L487" s="236"/>
      <c r="M487" s="281"/>
      <c r="N487" s="281"/>
      <c r="O487" s="236"/>
      <c r="P487" s="236"/>
      <c r="Q487" s="236"/>
      <c r="R487" s="236"/>
      <c r="S487" s="236"/>
      <c r="T487" s="236"/>
    </row>
    <row r="488" spans="2:20" s="207" customFormat="1" x14ac:dyDescent="0.25">
      <c r="B488" s="236"/>
      <c r="C488" s="236"/>
      <c r="D488" s="236"/>
      <c r="E488" s="236"/>
      <c r="F488" s="236"/>
      <c r="G488" s="236"/>
      <c r="H488" s="236"/>
      <c r="I488" s="236"/>
      <c r="J488" s="236"/>
      <c r="K488" s="236"/>
      <c r="L488" s="236"/>
      <c r="M488" s="236"/>
      <c r="N488" s="236"/>
      <c r="O488" s="236"/>
      <c r="P488" s="236"/>
      <c r="Q488" s="236"/>
      <c r="R488" s="236"/>
      <c r="S488" s="236"/>
      <c r="T488" s="236"/>
    </row>
    <row r="489" spans="2:20" s="207" customFormat="1" x14ac:dyDescent="0.25">
      <c r="B489" s="236"/>
      <c r="C489" s="236"/>
      <c r="D489" s="236"/>
      <c r="E489" s="236"/>
      <c r="F489" s="236"/>
      <c r="G489" s="236"/>
      <c r="H489" s="236"/>
      <c r="I489" s="236"/>
      <c r="J489" s="236"/>
      <c r="K489" s="236"/>
      <c r="L489" s="236"/>
      <c r="M489" s="236"/>
      <c r="N489" s="236"/>
      <c r="O489" s="236"/>
      <c r="P489" s="236"/>
      <c r="Q489" s="236"/>
      <c r="R489" s="236"/>
      <c r="S489" s="236"/>
      <c r="T489" s="236"/>
    </row>
    <row r="490" spans="2:20" s="207" customFormat="1" x14ac:dyDescent="0.25">
      <c r="B490" s="236"/>
      <c r="C490" s="236"/>
      <c r="D490" s="236"/>
      <c r="E490" s="236"/>
      <c r="F490" s="236"/>
      <c r="G490" s="236"/>
      <c r="H490" s="236"/>
      <c r="I490" s="236"/>
      <c r="J490" s="236"/>
      <c r="K490" s="236"/>
      <c r="L490" s="236"/>
      <c r="M490" s="236"/>
      <c r="N490" s="236"/>
      <c r="O490" s="236"/>
      <c r="P490" s="236"/>
      <c r="Q490" s="236"/>
      <c r="R490" s="236"/>
      <c r="S490" s="236"/>
      <c r="T490" s="236"/>
    </row>
    <row r="491" spans="2:20" s="207" customFormat="1" x14ac:dyDescent="0.25">
      <c r="B491" s="236"/>
      <c r="C491" s="236"/>
      <c r="D491" s="236"/>
      <c r="E491" s="236"/>
      <c r="F491" s="236"/>
      <c r="G491" s="236"/>
      <c r="H491" s="236"/>
      <c r="I491" s="236"/>
      <c r="J491" s="236"/>
      <c r="K491" s="236"/>
      <c r="L491" s="236"/>
      <c r="M491" s="236"/>
      <c r="N491" s="236"/>
      <c r="O491" s="236"/>
      <c r="P491" s="236"/>
      <c r="Q491" s="236"/>
      <c r="R491" s="236"/>
      <c r="S491" s="236"/>
      <c r="T491" s="236"/>
    </row>
    <row r="492" spans="2:20" s="207" customFormat="1" x14ac:dyDescent="0.25">
      <c r="B492" s="236"/>
      <c r="C492" s="236"/>
      <c r="D492" s="236"/>
      <c r="E492" s="236"/>
      <c r="F492" s="236"/>
      <c r="G492" s="236"/>
      <c r="H492" s="236"/>
      <c r="I492" s="236"/>
      <c r="J492" s="236"/>
      <c r="K492" s="236"/>
      <c r="L492" s="236"/>
      <c r="M492" s="236"/>
      <c r="N492" s="236"/>
      <c r="O492" s="236"/>
      <c r="P492" s="236"/>
      <c r="Q492" s="236"/>
      <c r="R492" s="236"/>
      <c r="S492" s="236"/>
      <c r="T492" s="236"/>
    </row>
    <row r="493" spans="2:20" s="207" customFormat="1" x14ac:dyDescent="0.25">
      <c r="B493" s="236"/>
      <c r="C493" s="236"/>
      <c r="D493" s="236"/>
      <c r="E493" s="236"/>
      <c r="F493" s="236"/>
      <c r="G493" s="236"/>
      <c r="H493" s="236"/>
      <c r="I493" s="236"/>
      <c r="J493" s="236"/>
      <c r="K493" s="236"/>
      <c r="L493" s="236"/>
      <c r="M493" s="236"/>
      <c r="N493" s="236"/>
      <c r="O493" s="236"/>
      <c r="P493" s="236"/>
      <c r="Q493" s="236"/>
      <c r="R493" s="236"/>
      <c r="S493" s="236"/>
      <c r="T493" s="236"/>
    </row>
    <row r="494" spans="2:20" s="207" customFormat="1" x14ac:dyDescent="0.25">
      <c r="B494" s="236"/>
      <c r="C494" s="236"/>
      <c r="D494" s="236"/>
      <c r="E494" s="236"/>
      <c r="F494" s="236"/>
      <c r="G494" s="236"/>
      <c r="H494" s="236"/>
      <c r="I494" s="236"/>
      <c r="J494" s="236"/>
      <c r="K494" s="236"/>
      <c r="L494" s="236"/>
      <c r="M494" s="236"/>
      <c r="N494" s="236"/>
      <c r="O494" s="236"/>
      <c r="P494" s="236"/>
      <c r="Q494" s="236"/>
      <c r="R494" s="236"/>
      <c r="S494" s="236"/>
      <c r="T494" s="236"/>
    </row>
    <row r="495" spans="2:20" s="207" customFormat="1" x14ac:dyDescent="0.25">
      <c r="B495" s="236"/>
      <c r="C495" s="236"/>
      <c r="D495" s="236"/>
      <c r="E495" s="236"/>
      <c r="F495" s="236"/>
      <c r="G495" s="236"/>
      <c r="H495" s="236"/>
      <c r="I495" s="236"/>
      <c r="J495" s="236"/>
      <c r="K495" s="236"/>
      <c r="L495" s="236"/>
      <c r="M495" s="236"/>
      <c r="N495" s="236"/>
      <c r="O495" s="236"/>
      <c r="P495" s="236"/>
      <c r="Q495" s="236"/>
      <c r="R495" s="236"/>
      <c r="S495" s="236"/>
      <c r="T495" s="236"/>
    </row>
    <row r="501" spans="2:20" ht="21" x14ac:dyDescent="0.25">
      <c r="C501" s="235" t="s">
        <v>259</v>
      </c>
    </row>
    <row r="505" spans="2:20" s="207" customFormat="1" x14ac:dyDescent="0.25">
      <c r="B505" s="236"/>
      <c r="C505" s="270"/>
      <c r="D505" s="270" t="s">
        <v>126</v>
      </c>
      <c r="E505" s="270"/>
      <c r="F505" s="270"/>
      <c r="G505" s="270"/>
      <c r="H505" s="270"/>
      <c r="I505" s="270"/>
      <c r="J505" s="270"/>
      <c r="K505" s="270"/>
      <c r="L505" s="270"/>
      <c r="M505" s="236"/>
      <c r="N505" s="236"/>
      <c r="O505" s="236"/>
      <c r="P505" s="236"/>
      <c r="Q505" s="236"/>
      <c r="R505" s="236"/>
      <c r="S505" s="236"/>
      <c r="T505" s="236"/>
    </row>
    <row r="506" spans="2:20" s="207" customFormat="1" x14ac:dyDescent="0.25">
      <c r="B506" s="236"/>
      <c r="C506" s="270"/>
      <c r="D506" s="270" t="s">
        <v>131</v>
      </c>
      <c r="E506" s="270"/>
      <c r="F506" s="270" t="s">
        <v>132</v>
      </c>
      <c r="G506" s="270" t="s">
        <v>313</v>
      </c>
      <c r="H506" s="270" t="s">
        <v>342</v>
      </c>
      <c r="I506" s="270"/>
      <c r="J506" s="270" t="s">
        <v>343</v>
      </c>
      <c r="K506" s="270"/>
      <c r="L506" s="270"/>
      <c r="M506" s="236"/>
      <c r="N506" s="236"/>
      <c r="O506" s="236"/>
      <c r="P506" s="236"/>
      <c r="Q506" s="236"/>
      <c r="R506" s="236"/>
      <c r="S506" s="236"/>
      <c r="T506" s="236"/>
    </row>
    <row r="507" spans="2:20" s="207" customFormat="1" x14ac:dyDescent="0.25">
      <c r="B507" s="236"/>
      <c r="C507" s="270"/>
      <c r="D507" s="270" t="s">
        <v>129</v>
      </c>
      <c r="E507" s="270" t="s">
        <v>130</v>
      </c>
      <c r="F507" s="270" t="s">
        <v>129</v>
      </c>
      <c r="G507" s="270" t="s">
        <v>130</v>
      </c>
      <c r="H507" s="270" t="s">
        <v>129</v>
      </c>
      <c r="I507" s="270" t="s">
        <v>130</v>
      </c>
      <c r="J507" s="270" t="s">
        <v>131</v>
      </c>
      <c r="K507" s="270" t="s">
        <v>132</v>
      </c>
      <c r="L507" s="270" t="s">
        <v>133</v>
      </c>
      <c r="M507" s="236"/>
      <c r="N507" s="236"/>
      <c r="O507" s="236"/>
      <c r="P507" s="236"/>
      <c r="Q507" s="236"/>
      <c r="R507" s="236"/>
      <c r="S507" s="236"/>
      <c r="T507" s="236"/>
    </row>
    <row r="508" spans="2:20" s="207" customFormat="1" x14ac:dyDescent="0.25">
      <c r="B508" s="236"/>
      <c r="C508" s="248" t="str">
        <f>Taules!C196</f>
        <v>TOTAL UPC</v>
      </c>
      <c r="D508" s="272">
        <f>Taules!E196</f>
        <v>4.3824521934758156</v>
      </c>
      <c r="E508" s="272">
        <f>Taules!G196</f>
        <v>5.5112485939257594</v>
      </c>
      <c r="F508" s="272">
        <f>Taules!K196</f>
        <v>2.0551801801801801</v>
      </c>
      <c r="G508" s="272">
        <f>Taules!N196</f>
        <v>4.4955005624296964</v>
      </c>
      <c r="H508" s="272">
        <f>Taules!R196</f>
        <v>4.2492965672481713</v>
      </c>
      <c r="I508" s="272">
        <f>Taules!V196</f>
        <v>4.907709622960045</v>
      </c>
      <c r="J508" s="272">
        <f>D508-E508</f>
        <v>-1.1287964004499438</v>
      </c>
      <c r="K508" s="272">
        <f>F508-G508</f>
        <v>-2.4403203822495163</v>
      </c>
      <c r="L508" s="272">
        <f>H508-I508</f>
        <v>-0.6584130557118737</v>
      </c>
      <c r="M508" s="236"/>
      <c r="N508" s="236"/>
      <c r="O508" s="236"/>
      <c r="P508" s="236"/>
      <c r="Q508" s="236"/>
      <c r="R508" s="236"/>
      <c r="S508" s="236"/>
      <c r="T508" s="236"/>
    </row>
    <row r="509" spans="2:20" s="207" customFormat="1" x14ac:dyDescent="0.25">
      <c r="B509" s="236"/>
      <c r="C509" s="236"/>
      <c r="D509" s="236"/>
      <c r="E509" s="236"/>
      <c r="F509" s="236"/>
      <c r="G509" s="236"/>
      <c r="H509" s="236"/>
      <c r="I509" s="236"/>
      <c r="J509" s="236"/>
      <c r="K509" s="236"/>
      <c r="L509" s="236"/>
      <c r="M509" s="236"/>
      <c r="N509" s="236"/>
      <c r="O509" s="236"/>
      <c r="P509" s="236"/>
      <c r="Q509" s="236"/>
      <c r="R509" s="236"/>
      <c r="S509" s="236"/>
      <c r="T509" s="236"/>
    </row>
    <row r="510" spans="2:20" s="207" customFormat="1" x14ac:dyDescent="0.25">
      <c r="B510" s="236"/>
      <c r="C510" s="236"/>
      <c r="D510" s="236"/>
      <c r="E510" s="236"/>
      <c r="F510" s="236"/>
      <c r="G510" s="236"/>
      <c r="H510" s="236"/>
      <c r="I510" s="236"/>
      <c r="J510" s="236"/>
      <c r="K510" s="236"/>
      <c r="L510" s="236"/>
      <c r="M510" s="236"/>
      <c r="N510" s="236"/>
      <c r="O510" s="236"/>
      <c r="P510" s="236"/>
      <c r="Q510" s="236"/>
      <c r="R510" s="236"/>
      <c r="S510" s="236"/>
      <c r="T510" s="236"/>
    </row>
    <row r="511" spans="2:20" s="207" customFormat="1" x14ac:dyDescent="0.25">
      <c r="B511" s="236"/>
      <c r="C511" s="236"/>
      <c r="D511" s="236"/>
      <c r="E511" s="236"/>
      <c r="F511" s="236"/>
      <c r="G511" s="236"/>
      <c r="H511" s="281"/>
      <c r="I511" s="236"/>
      <c r="J511" s="236"/>
      <c r="K511" s="236"/>
      <c r="L511" s="236"/>
      <c r="M511" s="236"/>
      <c r="N511" s="236"/>
      <c r="O511" s="236"/>
      <c r="P511" s="236"/>
      <c r="Q511" s="236"/>
      <c r="R511" s="236"/>
      <c r="S511" s="236"/>
      <c r="T511" s="236"/>
    </row>
    <row r="512" spans="2:20" s="207" customFormat="1" x14ac:dyDescent="0.25">
      <c r="B512" s="236"/>
      <c r="C512" s="236"/>
      <c r="D512" s="236"/>
      <c r="E512" s="236"/>
      <c r="F512" s="236"/>
      <c r="G512" s="236"/>
      <c r="H512" s="281"/>
      <c r="I512" s="236"/>
      <c r="J512" s="236"/>
      <c r="K512" s="236"/>
      <c r="L512" s="236"/>
      <c r="M512" s="236"/>
      <c r="N512" s="236"/>
      <c r="O512" s="236"/>
      <c r="P512" s="236"/>
      <c r="Q512" s="236"/>
      <c r="R512" s="236"/>
      <c r="S512" s="236"/>
      <c r="T512" s="236"/>
    </row>
    <row r="513" spans="2:20" s="207" customFormat="1" x14ac:dyDescent="0.25">
      <c r="B513" s="236"/>
      <c r="C513" s="236"/>
      <c r="D513" s="236"/>
      <c r="E513" s="236"/>
      <c r="F513" s="236"/>
      <c r="G513" s="236"/>
      <c r="H513" s="281"/>
      <c r="I513" s="236"/>
      <c r="J513" s="236"/>
      <c r="K513" s="236"/>
      <c r="L513" s="236"/>
      <c r="M513" s="236"/>
      <c r="N513" s="236"/>
      <c r="O513" s="236"/>
      <c r="P513" s="236"/>
      <c r="Q513" s="236"/>
      <c r="R513" s="236"/>
      <c r="S513" s="236"/>
      <c r="T513" s="236"/>
    </row>
    <row r="514" spans="2:20" s="207" customFormat="1" x14ac:dyDescent="0.25">
      <c r="B514" s="236"/>
      <c r="C514" s="236"/>
      <c r="D514" s="236"/>
      <c r="E514" s="236"/>
      <c r="F514" s="236"/>
      <c r="G514" s="236"/>
      <c r="H514" s="236"/>
      <c r="I514" s="236"/>
      <c r="J514" s="236"/>
      <c r="K514" s="236"/>
      <c r="L514" s="236"/>
      <c r="M514" s="236"/>
      <c r="N514" s="236"/>
      <c r="O514" s="236"/>
      <c r="P514" s="236"/>
      <c r="Q514" s="236"/>
      <c r="R514" s="236"/>
      <c r="S514" s="236"/>
      <c r="T514" s="236"/>
    </row>
    <row r="515" spans="2:20" s="207" customFormat="1" x14ac:dyDescent="0.25">
      <c r="B515" s="236"/>
      <c r="C515" s="236"/>
      <c r="D515" s="236"/>
      <c r="E515" s="236"/>
      <c r="F515" s="236"/>
      <c r="G515" s="236"/>
      <c r="H515" s="236"/>
      <c r="I515" s="236"/>
      <c r="J515" s="236"/>
      <c r="K515" s="236"/>
      <c r="L515" s="236"/>
      <c r="M515" s="236"/>
      <c r="N515" s="236"/>
      <c r="O515" s="236"/>
      <c r="P515" s="236"/>
      <c r="Q515" s="236"/>
      <c r="R515" s="236"/>
      <c r="S515" s="236"/>
      <c r="T515" s="236"/>
    </row>
    <row r="516" spans="2:20" s="207" customFormat="1" x14ac:dyDescent="0.25">
      <c r="B516" s="236"/>
      <c r="C516" s="236"/>
      <c r="D516" s="236"/>
      <c r="E516" s="236"/>
      <c r="F516" s="236"/>
      <c r="G516" s="281"/>
      <c r="H516" s="236"/>
      <c r="I516" s="236"/>
      <c r="J516" s="236"/>
      <c r="K516" s="236"/>
      <c r="L516" s="236"/>
      <c r="M516" s="236"/>
      <c r="N516" s="236"/>
      <c r="O516" s="236"/>
      <c r="P516" s="236"/>
      <c r="Q516" s="236"/>
      <c r="R516" s="236"/>
      <c r="S516" s="236"/>
      <c r="T516" s="236"/>
    </row>
    <row r="517" spans="2:20" s="207" customFormat="1" x14ac:dyDescent="0.25">
      <c r="B517" s="236"/>
      <c r="C517" s="236"/>
      <c r="D517" s="236"/>
      <c r="E517" s="236"/>
      <c r="F517" s="236"/>
      <c r="G517" s="281"/>
      <c r="H517" s="236"/>
      <c r="I517" s="236"/>
      <c r="J517" s="236"/>
      <c r="K517" s="236"/>
      <c r="L517" s="236"/>
      <c r="M517" s="236"/>
      <c r="N517" s="236"/>
      <c r="O517" s="236"/>
      <c r="P517" s="236"/>
      <c r="Q517" s="236"/>
      <c r="R517" s="236"/>
      <c r="S517" s="236"/>
      <c r="T517" s="236"/>
    </row>
    <row r="518" spans="2:20" s="207" customFormat="1" x14ac:dyDescent="0.25">
      <c r="B518" s="236"/>
      <c r="C518" s="236"/>
      <c r="D518" s="236"/>
      <c r="E518" s="236"/>
      <c r="F518" s="281"/>
      <c r="G518" s="281"/>
      <c r="H518" s="236"/>
      <c r="I518" s="236"/>
      <c r="J518" s="236"/>
      <c r="K518" s="236"/>
      <c r="L518" s="236"/>
      <c r="M518" s="236"/>
      <c r="N518" s="236"/>
      <c r="O518" s="236"/>
      <c r="P518" s="236"/>
      <c r="Q518" s="236"/>
      <c r="R518" s="236"/>
      <c r="S518" s="236"/>
      <c r="T518" s="236"/>
    </row>
    <row r="519" spans="2:20" s="207" customFormat="1" x14ac:dyDescent="0.25">
      <c r="B519" s="236"/>
      <c r="C519" s="236"/>
      <c r="D519" s="236"/>
      <c r="E519" s="236"/>
      <c r="F519" s="281"/>
      <c r="G519" s="236"/>
      <c r="H519" s="236"/>
      <c r="I519" s="236"/>
      <c r="J519" s="236"/>
      <c r="K519" s="236"/>
      <c r="L519" s="236"/>
      <c r="M519" s="236"/>
      <c r="N519" s="236"/>
      <c r="O519" s="236"/>
      <c r="P519" s="236"/>
      <c r="Q519" s="236"/>
      <c r="R519" s="236"/>
      <c r="S519" s="236"/>
      <c r="T519" s="236"/>
    </row>
    <row r="520" spans="2:20" s="207" customFormat="1" x14ac:dyDescent="0.25">
      <c r="B520" s="236"/>
      <c r="C520" s="236"/>
      <c r="D520" s="236"/>
      <c r="E520" s="236"/>
      <c r="F520" s="281"/>
      <c r="G520" s="236"/>
      <c r="H520" s="236"/>
      <c r="I520" s="236"/>
      <c r="J520" s="236"/>
      <c r="K520" s="236"/>
      <c r="L520" s="236"/>
      <c r="M520" s="236"/>
      <c r="N520" s="236"/>
      <c r="O520" s="236"/>
      <c r="P520" s="236"/>
      <c r="Q520" s="236"/>
      <c r="R520" s="236"/>
      <c r="S520" s="236"/>
      <c r="T520" s="236"/>
    </row>
    <row r="521" spans="2:20" s="207" customFormat="1" x14ac:dyDescent="0.25">
      <c r="B521" s="236"/>
      <c r="C521" s="236"/>
      <c r="D521" s="236"/>
      <c r="E521" s="236"/>
      <c r="F521" s="236"/>
      <c r="G521" s="236"/>
      <c r="H521" s="236"/>
      <c r="I521" s="236"/>
      <c r="J521" s="236"/>
      <c r="K521" s="236"/>
      <c r="L521" s="236"/>
      <c r="M521" s="236"/>
      <c r="N521" s="236"/>
      <c r="O521" s="236"/>
      <c r="P521" s="236"/>
      <c r="Q521" s="236"/>
      <c r="R521" s="236"/>
      <c r="S521" s="236"/>
      <c r="T521" s="236"/>
    </row>
    <row r="525" spans="2:20" ht="21" x14ac:dyDescent="0.25">
      <c r="C525" s="235" t="s">
        <v>260</v>
      </c>
    </row>
    <row r="528" spans="2:20" s="207" customFormat="1" x14ac:dyDescent="0.25">
      <c r="B528" s="236"/>
      <c r="C528" s="236"/>
      <c r="D528" s="236"/>
      <c r="E528" s="236"/>
      <c r="F528" s="236"/>
      <c r="G528" s="236"/>
      <c r="H528" s="236"/>
      <c r="I528" s="236"/>
      <c r="J528" s="236"/>
      <c r="K528" s="236"/>
      <c r="L528" s="236"/>
      <c r="M528" s="236"/>
      <c r="N528" s="236"/>
      <c r="O528" s="236"/>
      <c r="P528" s="236"/>
      <c r="Q528" s="236"/>
      <c r="R528" s="236"/>
      <c r="S528" s="236"/>
      <c r="T528" s="236"/>
    </row>
    <row r="529" spans="2:20" s="207" customFormat="1" x14ac:dyDescent="0.25">
      <c r="B529" s="236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</row>
    <row r="530" spans="2:20" s="207" customFormat="1" x14ac:dyDescent="0.25">
      <c r="B530" s="236"/>
      <c r="C530" s="236"/>
      <c r="D530" s="236"/>
      <c r="E530" s="236"/>
      <c r="F530" s="236"/>
      <c r="G530" s="236"/>
      <c r="H530" s="236"/>
      <c r="I530" s="236"/>
      <c r="J530" s="236"/>
      <c r="K530" s="236"/>
      <c r="L530" s="236"/>
      <c r="M530" s="236"/>
      <c r="N530" s="236"/>
      <c r="O530" s="236"/>
      <c r="P530" s="236"/>
      <c r="Q530" s="236"/>
      <c r="R530" s="236"/>
      <c r="S530" s="236"/>
      <c r="T530" s="236"/>
    </row>
    <row r="531" spans="2:20" s="207" customFormat="1" x14ac:dyDescent="0.25">
      <c r="B531" s="236"/>
      <c r="C531" s="270"/>
      <c r="D531" s="270" t="s">
        <v>126</v>
      </c>
      <c r="E531" s="270"/>
      <c r="F531" s="270"/>
      <c r="G531" s="270"/>
      <c r="H531" s="270"/>
      <c r="I531" s="270"/>
      <c r="J531" s="270"/>
      <c r="K531" s="270"/>
      <c r="L531" s="270"/>
      <c r="M531" s="236"/>
      <c r="N531" s="236"/>
      <c r="O531" s="236"/>
      <c r="P531" s="236"/>
      <c r="Q531" s="236"/>
      <c r="R531" s="236"/>
      <c r="S531" s="236"/>
      <c r="T531" s="236"/>
    </row>
    <row r="532" spans="2:20" s="207" customFormat="1" x14ac:dyDescent="0.25">
      <c r="B532" s="236"/>
      <c r="C532" s="270"/>
      <c r="D532" s="270" t="s">
        <v>344</v>
      </c>
      <c r="E532" s="270"/>
      <c r="F532" s="270" t="s">
        <v>345</v>
      </c>
      <c r="G532" s="270" t="s">
        <v>313</v>
      </c>
      <c r="H532" s="270" t="s">
        <v>346</v>
      </c>
      <c r="I532" s="270"/>
      <c r="J532" s="270" t="s">
        <v>343</v>
      </c>
      <c r="K532" s="270"/>
      <c r="L532" s="270"/>
      <c r="M532" s="236"/>
      <c r="N532" s="236"/>
      <c r="O532" s="236"/>
      <c r="P532" s="236"/>
      <c r="Q532" s="236"/>
      <c r="R532" s="236"/>
      <c r="S532" s="236"/>
      <c r="T532" s="236"/>
    </row>
    <row r="533" spans="2:20" s="207" customFormat="1" x14ac:dyDescent="0.25">
      <c r="B533" s="236"/>
      <c r="C533" s="270"/>
      <c r="D533" s="270" t="s">
        <v>129</v>
      </c>
      <c r="E533" s="270" t="s">
        <v>130</v>
      </c>
      <c r="F533" s="270" t="s">
        <v>129</v>
      </c>
      <c r="G533" s="270" t="s">
        <v>130</v>
      </c>
      <c r="H533" s="270" t="s">
        <v>129</v>
      </c>
      <c r="I533" s="270" t="s">
        <v>130</v>
      </c>
      <c r="J533" s="270" t="s">
        <v>344</v>
      </c>
      <c r="K533" s="270" t="s">
        <v>345</v>
      </c>
      <c r="L533" s="270" t="s">
        <v>136</v>
      </c>
      <c r="M533" s="236"/>
      <c r="N533" s="236"/>
      <c r="O533" s="236"/>
      <c r="P533" s="236"/>
      <c r="Q533" s="236"/>
      <c r="R533" s="236"/>
      <c r="S533" s="236"/>
      <c r="T533" s="236"/>
    </row>
    <row r="534" spans="2:20" s="207" customFormat="1" x14ac:dyDescent="0.25">
      <c r="B534" s="236"/>
      <c r="C534" s="248" t="str">
        <f>Taules!C206</f>
        <v>TOTAL UPC</v>
      </c>
      <c r="D534" s="272">
        <f>Taules!F206</f>
        <v>4.0208216094541358</v>
      </c>
      <c r="E534" s="272">
        <f>Taules!J206</f>
        <v>5.3530405405405403</v>
      </c>
      <c r="F534" s="272">
        <f>Taules!N206</f>
        <v>3.771525042205965</v>
      </c>
      <c r="G534" s="272">
        <f>Taules!Q206</f>
        <v>5.0545556805399325</v>
      </c>
      <c r="H534" s="272">
        <f>Taules!T206</f>
        <v>3.9004499437570304</v>
      </c>
      <c r="I534" s="272">
        <f>Taules!X206</f>
        <v>4.9425998874507595</v>
      </c>
      <c r="J534" s="272">
        <f>D534-E534</f>
        <v>-1.3322189310864045</v>
      </c>
      <c r="K534" s="272">
        <f>F534-G534</f>
        <v>-1.2830306383339676</v>
      </c>
      <c r="L534" s="272">
        <f>H534-I534</f>
        <v>-1.0421499436937292</v>
      </c>
      <c r="M534" s="236"/>
      <c r="N534" s="236"/>
      <c r="O534" s="236"/>
      <c r="P534" s="236"/>
      <c r="Q534" s="236"/>
      <c r="R534" s="236"/>
      <c r="S534" s="236"/>
      <c r="T534" s="236"/>
    </row>
    <row r="535" spans="2:20" s="207" customFormat="1" x14ac:dyDescent="0.25">
      <c r="B535" s="236"/>
      <c r="C535" s="236"/>
      <c r="D535" s="236"/>
      <c r="E535" s="236"/>
      <c r="F535" s="236"/>
      <c r="G535" s="236"/>
      <c r="H535" s="281"/>
      <c r="I535" s="281"/>
      <c r="J535" s="236"/>
      <c r="K535" s="236"/>
      <c r="L535" s="236"/>
      <c r="M535" s="236"/>
      <c r="N535" s="236"/>
      <c r="O535" s="236"/>
      <c r="P535" s="236"/>
      <c r="Q535" s="236"/>
      <c r="R535" s="236"/>
      <c r="S535" s="236"/>
      <c r="T535" s="236"/>
    </row>
    <row r="536" spans="2:20" s="207" customFormat="1" x14ac:dyDescent="0.25">
      <c r="B536" s="236"/>
      <c r="C536" s="236"/>
      <c r="D536" s="236"/>
      <c r="E536" s="236"/>
      <c r="F536" s="236"/>
      <c r="G536" s="236"/>
      <c r="H536" s="236"/>
      <c r="I536" s="236"/>
      <c r="J536" s="236"/>
      <c r="K536" s="236"/>
      <c r="L536" s="236"/>
      <c r="M536" s="236"/>
      <c r="N536" s="236"/>
      <c r="O536" s="236"/>
      <c r="P536" s="236"/>
      <c r="Q536" s="236"/>
      <c r="R536" s="236"/>
      <c r="S536" s="236"/>
      <c r="T536" s="236"/>
    </row>
    <row r="537" spans="2:20" s="207" customFormat="1" x14ac:dyDescent="0.25">
      <c r="B537" s="236"/>
      <c r="C537" s="236"/>
      <c r="D537" s="236"/>
      <c r="E537" s="236"/>
      <c r="F537" s="236"/>
      <c r="G537" s="236"/>
      <c r="H537" s="236"/>
      <c r="I537" s="236"/>
      <c r="J537" s="236"/>
      <c r="K537" s="236"/>
      <c r="L537" s="236"/>
      <c r="M537" s="236"/>
      <c r="N537" s="236"/>
      <c r="O537" s="236"/>
      <c r="P537" s="236"/>
      <c r="Q537" s="236"/>
      <c r="R537" s="236"/>
      <c r="S537" s="236"/>
      <c r="T537" s="236"/>
    </row>
    <row r="538" spans="2:20" s="207" customFormat="1" x14ac:dyDescent="0.25">
      <c r="B538" s="236"/>
      <c r="C538" s="236"/>
      <c r="D538" s="236"/>
      <c r="E538" s="236"/>
      <c r="F538" s="236"/>
      <c r="G538" s="281"/>
      <c r="H538" s="236"/>
      <c r="I538" s="236"/>
      <c r="J538" s="281"/>
      <c r="K538" s="281"/>
      <c r="L538" s="236"/>
      <c r="M538" s="236"/>
      <c r="N538" s="236"/>
      <c r="O538" s="236"/>
      <c r="P538" s="236"/>
      <c r="Q538" s="236"/>
      <c r="R538" s="236"/>
      <c r="S538" s="236"/>
      <c r="T538" s="236"/>
    </row>
    <row r="539" spans="2:20" s="207" customFormat="1" x14ac:dyDescent="0.25">
      <c r="B539" s="236"/>
      <c r="C539" s="236"/>
      <c r="D539" s="236"/>
      <c r="E539" s="236"/>
      <c r="F539" s="236"/>
      <c r="G539" s="281"/>
      <c r="H539" s="236"/>
      <c r="I539" s="236"/>
      <c r="J539" s="281"/>
      <c r="K539" s="281"/>
      <c r="L539" s="236"/>
      <c r="M539" s="236"/>
      <c r="N539" s="236"/>
      <c r="O539" s="236"/>
      <c r="P539" s="236"/>
      <c r="Q539" s="236"/>
      <c r="R539" s="236"/>
      <c r="S539" s="236"/>
      <c r="T539" s="236"/>
    </row>
    <row r="540" spans="2:20" s="207" customFormat="1" x14ac:dyDescent="0.25">
      <c r="B540" s="236"/>
      <c r="C540" s="236"/>
      <c r="D540" s="236"/>
      <c r="E540" s="236"/>
      <c r="F540" s="281"/>
      <c r="G540" s="281"/>
      <c r="H540" s="236"/>
      <c r="I540" s="236"/>
      <c r="J540" s="281"/>
      <c r="K540" s="281"/>
      <c r="L540" s="236"/>
      <c r="M540" s="236"/>
      <c r="N540" s="236"/>
      <c r="O540" s="236"/>
      <c r="P540" s="236"/>
      <c r="Q540" s="236"/>
      <c r="R540" s="236"/>
      <c r="S540" s="236"/>
      <c r="T540" s="236"/>
    </row>
    <row r="541" spans="2:20" s="207" customFormat="1" x14ac:dyDescent="0.25">
      <c r="B541" s="236"/>
      <c r="C541" s="236"/>
      <c r="D541" s="236"/>
      <c r="E541" s="236"/>
      <c r="F541" s="281"/>
      <c r="G541" s="236"/>
      <c r="H541" s="236"/>
      <c r="I541" s="236"/>
      <c r="J541" s="236"/>
      <c r="K541" s="236"/>
      <c r="L541" s="236"/>
      <c r="M541" s="236"/>
      <c r="N541" s="236"/>
      <c r="O541" s="236"/>
      <c r="P541" s="236"/>
      <c r="Q541" s="236"/>
      <c r="R541" s="236"/>
      <c r="S541" s="236"/>
      <c r="T541" s="236"/>
    </row>
    <row r="542" spans="2:20" s="207" customFormat="1" x14ac:dyDescent="0.25">
      <c r="B542" s="236"/>
      <c r="C542" s="236"/>
      <c r="D542" s="236"/>
      <c r="E542" s="236"/>
      <c r="F542" s="281"/>
      <c r="G542" s="236"/>
      <c r="H542" s="236"/>
      <c r="I542" s="236"/>
      <c r="J542" s="236"/>
      <c r="K542" s="236"/>
      <c r="L542" s="236"/>
      <c r="M542" s="236"/>
      <c r="N542" s="236"/>
      <c r="O542" s="236"/>
      <c r="P542" s="236"/>
      <c r="Q542" s="236"/>
      <c r="R542" s="236"/>
      <c r="S542" s="236"/>
      <c r="T542" s="236"/>
    </row>
    <row r="543" spans="2:20" s="207" customFormat="1" x14ac:dyDescent="0.25">
      <c r="B543" s="236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236"/>
      <c r="P543" s="236"/>
      <c r="Q543" s="236"/>
      <c r="R543" s="236"/>
      <c r="S543" s="236"/>
      <c r="T543" s="236"/>
    </row>
    <row r="544" spans="2:20" s="207" customFormat="1" x14ac:dyDescent="0.25">
      <c r="B544" s="236"/>
      <c r="C544" s="236"/>
      <c r="D544" s="236"/>
      <c r="E544" s="236"/>
      <c r="F544" s="236"/>
      <c r="G544" s="236"/>
      <c r="H544" s="236"/>
      <c r="I544" s="236"/>
      <c r="J544" s="236"/>
      <c r="K544" s="236"/>
      <c r="L544" s="236"/>
      <c r="M544" s="236"/>
      <c r="N544" s="236"/>
      <c r="O544" s="236"/>
      <c r="P544" s="236"/>
      <c r="Q544" s="236"/>
      <c r="R544" s="236"/>
      <c r="S544" s="236"/>
      <c r="T544" s="236"/>
    </row>
    <row r="548" spans="2:20" ht="21" x14ac:dyDescent="0.25">
      <c r="C548" s="235" t="s">
        <v>261</v>
      </c>
    </row>
    <row r="550" spans="2:20" s="207" customFormat="1" x14ac:dyDescent="0.25">
      <c r="B550" s="236"/>
      <c r="C550" s="236"/>
      <c r="D550" s="236"/>
      <c r="E550" s="236"/>
      <c r="F550" s="236"/>
      <c r="G550" s="236"/>
      <c r="H550" s="236"/>
      <c r="I550" s="236"/>
      <c r="J550" s="236"/>
      <c r="K550" s="236"/>
      <c r="L550" s="236"/>
      <c r="M550" s="236"/>
      <c r="N550" s="236"/>
      <c r="O550" s="236"/>
      <c r="P550" s="236"/>
      <c r="Q550" s="236"/>
      <c r="R550" s="236"/>
      <c r="S550" s="236"/>
      <c r="T550" s="236"/>
    </row>
    <row r="551" spans="2:20" s="207" customFormat="1" x14ac:dyDescent="0.25">
      <c r="B551" s="236"/>
      <c r="C551" s="270"/>
      <c r="D551" s="270" t="s">
        <v>126</v>
      </c>
      <c r="E551" s="270"/>
      <c r="F551" s="270"/>
      <c r="G551" s="270"/>
      <c r="H551" s="270"/>
      <c r="I551" s="270"/>
      <c r="J551" s="270"/>
      <c r="K551" s="270"/>
      <c r="L551" s="270"/>
      <c r="M551" s="236"/>
      <c r="N551" s="236"/>
      <c r="O551" s="236"/>
      <c r="P551" s="236"/>
      <c r="Q551" s="236"/>
      <c r="R551" s="236"/>
      <c r="S551" s="236"/>
      <c r="T551" s="236"/>
    </row>
    <row r="552" spans="2:20" s="207" customFormat="1" x14ac:dyDescent="0.25">
      <c r="B552" s="236"/>
      <c r="C552" s="270"/>
      <c r="D552" s="270" t="s">
        <v>137</v>
      </c>
      <c r="E552" s="270"/>
      <c r="F552" s="270" t="s">
        <v>138</v>
      </c>
      <c r="G552" s="270" t="s">
        <v>313</v>
      </c>
      <c r="H552" s="270" t="s">
        <v>139</v>
      </c>
      <c r="I552" s="270"/>
      <c r="J552" s="270" t="s">
        <v>343</v>
      </c>
      <c r="K552" s="270"/>
      <c r="L552" s="270"/>
      <c r="M552" s="236"/>
      <c r="N552" s="236"/>
      <c r="O552" s="236"/>
      <c r="P552" s="236"/>
      <c r="Q552" s="236"/>
      <c r="R552" s="236"/>
      <c r="S552" s="236"/>
      <c r="T552" s="236"/>
    </row>
    <row r="553" spans="2:20" s="207" customFormat="1" x14ac:dyDescent="0.25">
      <c r="B553" s="236"/>
      <c r="C553" s="270"/>
      <c r="D553" s="270" t="s">
        <v>129</v>
      </c>
      <c r="E553" s="270" t="s">
        <v>130</v>
      </c>
      <c r="F553" s="270" t="s">
        <v>129</v>
      </c>
      <c r="G553" s="270" t="s">
        <v>130</v>
      </c>
      <c r="H553" s="270" t="s">
        <v>129</v>
      </c>
      <c r="I553" s="270" t="s">
        <v>130</v>
      </c>
      <c r="J553" s="270" t="s">
        <v>347</v>
      </c>
      <c r="K553" s="270" t="s">
        <v>138</v>
      </c>
      <c r="L553" s="270" t="s">
        <v>139</v>
      </c>
      <c r="M553" s="236"/>
      <c r="N553" s="236"/>
      <c r="O553" s="236"/>
      <c r="P553" s="236"/>
      <c r="Q553" s="236"/>
      <c r="R553" s="236"/>
      <c r="S553" s="236"/>
      <c r="T553" s="236"/>
    </row>
    <row r="554" spans="2:20" s="207" customFormat="1" x14ac:dyDescent="0.25">
      <c r="B554" s="236"/>
      <c r="C554" s="248" t="str">
        <f>Taules!C223</f>
        <v>TOTAL UPC</v>
      </c>
      <c r="D554" s="272">
        <f>Taules!E213</f>
        <v>4.7890888638920135</v>
      </c>
      <c r="E554" s="272">
        <f>Taules!G213</f>
        <v>5.4578177727784025</v>
      </c>
      <c r="F554" s="272">
        <f>Taules!K213</f>
        <v>3.3761261261261262</v>
      </c>
      <c r="G554" s="272">
        <f>Taules!O213</f>
        <v>4.9803038829487898</v>
      </c>
      <c r="H554" s="272">
        <f>Taules!R213</f>
        <v>4.9572553430821147</v>
      </c>
      <c r="I554" s="272">
        <f>Taules!V213</f>
        <v>5.8445945945945947</v>
      </c>
      <c r="J554" s="272">
        <f>D554-E554</f>
        <v>-0.66872890888638903</v>
      </c>
      <c r="K554" s="272">
        <f>F554-G554</f>
        <v>-1.6041777568226636</v>
      </c>
      <c r="L554" s="272">
        <f>H554-I554</f>
        <v>-0.88733925151248005</v>
      </c>
      <c r="M554" s="236"/>
      <c r="N554" s="236"/>
      <c r="O554" s="236"/>
      <c r="P554" s="236"/>
      <c r="Q554" s="236"/>
      <c r="R554" s="236"/>
      <c r="S554" s="236"/>
      <c r="T554" s="236"/>
    </row>
    <row r="555" spans="2:20" s="207" customFormat="1" x14ac:dyDescent="0.25">
      <c r="B555" s="236"/>
      <c r="C555" s="236"/>
      <c r="D555" s="236"/>
      <c r="E555" s="236"/>
      <c r="F555" s="236"/>
      <c r="G555" s="236"/>
      <c r="H555" s="236"/>
      <c r="I555" s="236"/>
      <c r="J555" s="236"/>
      <c r="K555" s="236"/>
      <c r="L555" s="236"/>
      <c r="M555" s="236"/>
      <c r="N555" s="236"/>
      <c r="O555" s="236"/>
      <c r="P555" s="236"/>
      <c r="Q555" s="236"/>
      <c r="R555" s="236"/>
      <c r="S555" s="236"/>
      <c r="T555" s="236"/>
    </row>
    <row r="556" spans="2:20" s="207" customFormat="1" x14ac:dyDescent="0.25">
      <c r="B556" s="236"/>
      <c r="C556" s="236"/>
      <c r="D556" s="236"/>
      <c r="E556" s="236"/>
      <c r="F556" s="236"/>
      <c r="G556" s="236"/>
      <c r="H556" s="281"/>
      <c r="I556" s="236"/>
      <c r="J556" s="236"/>
      <c r="K556" s="236"/>
      <c r="L556" s="236"/>
      <c r="M556" s="236"/>
      <c r="N556" s="236"/>
      <c r="O556" s="236"/>
      <c r="P556" s="236"/>
      <c r="Q556" s="236"/>
      <c r="R556" s="236"/>
      <c r="S556" s="236"/>
      <c r="T556" s="236"/>
    </row>
    <row r="557" spans="2:20" s="207" customFormat="1" x14ac:dyDescent="0.25">
      <c r="B557" s="236"/>
      <c r="C557" s="236"/>
      <c r="D557" s="236"/>
      <c r="E557" s="236"/>
      <c r="F557" s="236"/>
      <c r="G557" s="236"/>
      <c r="H557" s="281"/>
      <c r="I557" s="236"/>
      <c r="J557" s="236"/>
      <c r="K557" s="236"/>
      <c r="L557" s="236"/>
      <c r="M557" s="236"/>
      <c r="N557" s="236"/>
      <c r="O557" s="236"/>
      <c r="P557" s="236"/>
      <c r="Q557" s="236"/>
      <c r="R557" s="236"/>
      <c r="S557" s="236"/>
      <c r="T557" s="236"/>
    </row>
    <row r="558" spans="2:20" s="207" customFormat="1" x14ac:dyDescent="0.25">
      <c r="B558" s="236"/>
      <c r="C558" s="236"/>
      <c r="D558" s="236"/>
      <c r="E558" s="236"/>
      <c r="F558" s="236"/>
      <c r="G558" s="236"/>
      <c r="H558" s="281"/>
      <c r="I558" s="236"/>
      <c r="J558" s="236"/>
      <c r="K558" s="236"/>
      <c r="L558" s="236"/>
      <c r="M558" s="236"/>
      <c r="N558" s="236"/>
      <c r="O558" s="236"/>
      <c r="P558" s="236"/>
      <c r="Q558" s="236"/>
      <c r="R558" s="236"/>
      <c r="S558" s="236"/>
      <c r="T558" s="236"/>
    </row>
    <row r="559" spans="2:20" s="207" customFormat="1" x14ac:dyDescent="0.25">
      <c r="B559" s="236"/>
      <c r="C559" s="236"/>
      <c r="D559" s="236"/>
      <c r="E559" s="236"/>
      <c r="F559" s="236"/>
      <c r="G559" s="236"/>
      <c r="H559" s="236"/>
      <c r="I559" s="236"/>
      <c r="J559" s="236"/>
      <c r="K559" s="236"/>
      <c r="L559" s="236"/>
      <c r="M559" s="236"/>
      <c r="N559" s="236"/>
      <c r="O559" s="236"/>
      <c r="P559" s="236"/>
      <c r="Q559" s="236"/>
      <c r="R559" s="236"/>
      <c r="S559" s="236"/>
      <c r="T559" s="236"/>
    </row>
    <row r="560" spans="2:20" s="207" customFormat="1" x14ac:dyDescent="0.25">
      <c r="B560" s="236"/>
      <c r="C560" s="236"/>
      <c r="D560" s="236"/>
      <c r="E560" s="236"/>
      <c r="F560" s="236"/>
      <c r="G560" s="236"/>
      <c r="H560" s="236"/>
      <c r="I560" s="236"/>
      <c r="J560" s="236"/>
      <c r="K560" s="236"/>
      <c r="L560" s="236"/>
      <c r="M560" s="236"/>
      <c r="N560" s="236"/>
      <c r="O560" s="236"/>
      <c r="P560" s="236"/>
      <c r="Q560" s="236"/>
      <c r="R560" s="236"/>
      <c r="S560" s="236"/>
      <c r="T560" s="236"/>
    </row>
    <row r="561" spans="2:20" s="207" customFormat="1" x14ac:dyDescent="0.25">
      <c r="B561" s="236"/>
      <c r="C561" s="236"/>
      <c r="D561" s="236"/>
      <c r="E561" s="236"/>
      <c r="F561" s="236"/>
      <c r="G561" s="281"/>
      <c r="H561" s="236"/>
      <c r="I561" s="236"/>
      <c r="J561" s="236"/>
      <c r="K561" s="236"/>
      <c r="L561" s="236"/>
      <c r="M561" s="236"/>
      <c r="N561" s="236"/>
      <c r="O561" s="236"/>
      <c r="P561" s="236"/>
      <c r="Q561" s="236"/>
      <c r="R561" s="236"/>
      <c r="S561" s="236"/>
      <c r="T561" s="236"/>
    </row>
    <row r="562" spans="2:20" s="207" customFormat="1" x14ac:dyDescent="0.25">
      <c r="B562" s="236"/>
      <c r="C562" s="236"/>
      <c r="D562" s="236"/>
      <c r="E562" s="236"/>
      <c r="F562" s="236"/>
      <c r="G562" s="281"/>
      <c r="H562" s="236"/>
      <c r="I562" s="236"/>
      <c r="J562" s="236"/>
      <c r="K562" s="236"/>
      <c r="L562" s="236"/>
      <c r="M562" s="236"/>
      <c r="N562" s="236"/>
      <c r="O562" s="236"/>
      <c r="P562" s="236"/>
      <c r="Q562" s="236"/>
      <c r="R562" s="236"/>
      <c r="S562" s="236"/>
      <c r="T562" s="236"/>
    </row>
    <row r="563" spans="2:20" s="207" customFormat="1" x14ac:dyDescent="0.25">
      <c r="B563" s="236"/>
      <c r="C563" s="236"/>
      <c r="D563" s="236"/>
      <c r="E563" s="236"/>
      <c r="F563" s="281"/>
      <c r="G563" s="281"/>
      <c r="H563" s="236"/>
      <c r="I563" s="236"/>
      <c r="J563" s="236"/>
      <c r="K563" s="236"/>
      <c r="L563" s="236"/>
      <c r="M563" s="236"/>
      <c r="N563" s="236"/>
      <c r="O563" s="236"/>
      <c r="P563" s="236"/>
      <c r="Q563" s="236"/>
      <c r="R563" s="236"/>
      <c r="S563" s="236"/>
      <c r="T563" s="236"/>
    </row>
    <row r="564" spans="2:20" s="207" customFormat="1" x14ac:dyDescent="0.25">
      <c r="B564" s="236"/>
      <c r="C564" s="236"/>
      <c r="D564" s="236"/>
      <c r="E564" s="236"/>
      <c r="F564" s="281"/>
      <c r="G564" s="236"/>
      <c r="H564" s="236"/>
      <c r="I564" s="236"/>
      <c r="J564" s="236"/>
      <c r="K564" s="236"/>
      <c r="L564" s="236"/>
      <c r="M564" s="236"/>
      <c r="N564" s="236"/>
      <c r="O564" s="236"/>
      <c r="P564" s="236"/>
      <c r="Q564" s="236"/>
      <c r="R564" s="236"/>
      <c r="S564" s="236"/>
      <c r="T564" s="236"/>
    </row>
    <row r="565" spans="2:20" s="207" customFormat="1" x14ac:dyDescent="0.25">
      <c r="B565" s="236"/>
      <c r="C565" s="236"/>
      <c r="D565" s="236"/>
      <c r="E565" s="236"/>
      <c r="F565" s="281"/>
      <c r="G565" s="236"/>
      <c r="H565" s="236"/>
      <c r="I565" s="236"/>
      <c r="J565" s="236"/>
      <c r="K565" s="236"/>
      <c r="L565" s="236"/>
      <c r="M565" s="236"/>
      <c r="N565" s="236"/>
      <c r="O565" s="236"/>
      <c r="P565" s="236"/>
      <c r="Q565" s="236"/>
      <c r="R565" s="236"/>
      <c r="S565" s="236"/>
      <c r="T565" s="236"/>
    </row>
    <row r="571" spans="2:20" ht="21" x14ac:dyDescent="0.25">
      <c r="C571" s="235" t="s">
        <v>371</v>
      </c>
    </row>
    <row r="574" spans="2:20" s="207" customFormat="1" x14ac:dyDescent="0.25">
      <c r="B574" s="236"/>
      <c r="C574" s="236"/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236"/>
      <c r="Q574" s="236"/>
      <c r="R574" s="236"/>
      <c r="S574" s="236"/>
      <c r="T574" s="236"/>
    </row>
    <row r="575" spans="2:20" s="207" customFormat="1" x14ac:dyDescent="0.25">
      <c r="B575" s="236"/>
      <c r="C575" s="236"/>
      <c r="D575" s="236"/>
      <c r="E575" s="236"/>
      <c r="F575" s="236"/>
      <c r="G575" s="236"/>
      <c r="H575" s="236"/>
      <c r="I575" s="236"/>
      <c r="J575" s="236"/>
      <c r="K575" s="236"/>
      <c r="L575" s="236"/>
      <c r="M575" s="236"/>
      <c r="N575" s="236"/>
      <c r="O575" s="236"/>
      <c r="P575" s="236"/>
      <c r="Q575" s="236"/>
      <c r="R575" s="236"/>
      <c r="S575" s="236"/>
      <c r="T575" s="236"/>
    </row>
    <row r="576" spans="2:20" s="207" customFormat="1" x14ac:dyDescent="0.25">
      <c r="B576" s="236"/>
      <c r="C576" s="236"/>
      <c r="D576" s="236"/>
      <c r="E576" s="236"/>
      <c r="F576" s="236"/>
      <c r="G576" s="236"/>
      <c r="H576" s="236"/>
      <c r="I576" s="236"/>
      <c r="J576" s="236"/>
      <c r="K576" s="236"/>
      <c r="L576" s="236"/>
      <c r="M576" s="236"/>
      <c r="N576" s="236"/>
      <c r="O576" s="236"/>
      <c r="P576" s="236"/>
      <c r="Q576" s="236"/>
      <c r="R576" s="236"/>
      <c r="S576" s="236"/>
      <c r="T576" s="236"/>
    </row>
    <row r="577" spans="2:20" s="207" customFormat="1" x14ac:dyDescent="0.25">
      <c r="B577" s="236"/>
      <c r="C577" s="270" t="s">
        <v>381</v>
      </c>
      <c r="D577" s="270" t="s">
        <v>341</v>
      </c>
      <c r="E577" s="270"/>
      <c r="F577" s="270" t="s">
        <v>131</v>
      </c>
      <c r="G577" s="270" t="s">
        <v>132</v>
      </c>
      <c r="H577" s="270" t="s">
        <v>133</v>
      </c>
      <c r="I577" s="270"/>
      <c r="J577" s="270" t="s">
        <v>344</v>
      </c>
      <c r="K577" s="270" t="s">
        <v>345</v>
      </c>
      <c r="L577" s="270" t="s">
        <v>136</v>
      </c>
      <c r="M577" s="270"/>
      <c r="N577" s="270" t="s">
        <v>347</v>
      </c>
      <c r="O577" s="270" t="s">
        <v>138</v>
      </c>
      <c r="P577" s="270" t="s">
        <v>139</v>
      </c>
      <c r="Q577" s="236"/>
      <c r="R577" s="236"/>
      <c r="S577" s="236"/>
      <c r="T577" s="236"/>
    </row>
    <row r="578" spans="2:20" s="207" customFormat="1" x14ac:dyDescent="0.25">
      <c r="B578" s="236"/>
      <c r="C578" s="272">
        <f>H484</f>
        <v>0.91211031091569339</v>
      </c>
      <c r="D578" s="272">
        <f>I484</f>
        <v>0.23187169133402552</v>
      </c>
      <c r="E578" s="272"/>
      <c r="F578" s="272">
        <f>J508</f>
        <v>-1.1287964004499438</v>
      </c>
      <c r="G578" s="272">
        <f>K508</f>
        <v>-2.4403203822495163</v>
      </c>
      <c r="H578" s="272">
        <f>L508</f>
        <v>-0.6584130557118737</v>
      </c>
      <c r="I578" s="272"/>
      <c r="J578" s="272">
        <f>J534</f>
        <v>-1.3322189310864045</v>
      </c>
      <c r="K578" s="272">
        <f>K534</f>
        <v>-1.2830306383339676</v>
      </c>
      <c r="L578" s="272">
        <f>L534</f>
        <v>-1.0421499436937292</v>
      </c>
      <c r="M578" s="272"/>
      <c r="N578" s="272">
        <f>J554</f>
        <v>-0.66872890888638903</v>
      </c>
      <c r="O578" s="272">
        <f>K554</f>
        <v>-1.6041777568226636</v>
      </c>
      <c r="P578" s="272">
        <f>L554</f>
        <v>-0.88733925151248005</v>
      </c>
      <c r="Q578" s="236"/>
      <c r="R578" s="236"/>
      <c r="S578" s="236"/>
      <c r="T578" s="236"/>
    </row>
    <row r="579" spans="2:20" s="207" customFormat="1" x14ac:dyDescent="0.25">
      <c r="B579" s="236"/>
      <c r="C579" s="236"/>
      <c r="D579" s="236"/>
      <c r="E579" s="236"/>
      <c r="F579" s="236"/>
      <c r="G579" s="236"/>
      <c r="H579" s="236"/>
      <c r="I579" s="236"/>
      <c r="J579" s="236"/>
      <c r="K579" s="236"/>
      <c r="L579" s="236"/>
      <c r="M579" s="236"/>
      <c r="N579" s="236"/>
      <c r="O579" s="236"/>
      <c r="P579" s="236"/>
      <c r="Q579" s="236"/>
      <c r="R579" s="236"/>
      <c r="S579" s="236"/>
      <c r="T579" s="236"/>
    </row>
    <row r="580" spans="2:20" s="207" customFormat="1" x14ac:dyDescent="0.25">
      <c r="B580" s="236"/>
      <c r="C580" s="236"/>
      <c r="D580" s="236"/>
      <c r="E580" s="236"/>
      <c r="F580" s="236"/>
      <c r="G580" s="236"/>
      <c r="H580" s="236"/>
      <c r="I580" s="236"/>
      <c r="J580" s="236"/>
      <c r="K580" s="236"/>
      <c r="L580" s="236"/>
      <c r="M580" s="236"/>
      <c r="N580" s="236"/>
      <c r="O580" s="236"/>
      <c r="P580" s="236"/>
      <c r="Q580" s="236"/>
      <c r="R580" s="236"/>
      <c r="S580" s="236"/>
      <c r="T580" s="236"/>
    </row>
    <row r="581" spans="2:20" s="207" customFormat="1" x14ac:dyDescent="0.25">
      <c r="B581" s="236"/>
      <c r="C581" s="236"/>
      <c r="D581" s="236"/>
      <c r="E581" s="236"/>
      <c r="F581" s="236"/>
      <c r="G581" s="236"/>
      <c r="H581" s="236"/>
      <c r="I581" s="236"/>
      <c r="J581" s="236"/>
      <c r="K581" s="236"/>
      <c r="L581" s="236"/>
      <c r="M581" s="236"/>
      <c r="N581" s="236"/>
      <c r="O581" s="236"/>
      <c r="P581" s="236"/>
      <c r="Q581" s="236"/>
      <c r="R581" s="236"/>
      <c r="S581" s="236"/>
      <c r="T581" s="236"/>
    </row>
    <row r="582" spans="2:20" s="207" customFormat="1" x14ac:dyDescent="0.25">
      <c r="B582" s="236"/>
      <c r="C582" s="236"/>
      <c r="D582" s="236"/>
      <c r="E582" s="236"/>
      <c r="F582" s="236"/>
      <c r="G582" s="236"/>
      <c r="H582" s="236"/>
      <c r="I582" s="236"/>
      <c r="J582" s="236"/>
      <c r="K582" s="236"/>
      <c r="L582" s="236"/>
      <c r="M582" s="236"/>
      <c r="N582" s="236"/>
      <c r="O582" s="236"/>
      <c r="P582" s="236"/>
      <c r="Q582" s="236"/>
      <c r="R582" s="236"/>
      <c r="S582" s="236"/>
      <c r="T582" s="236"/>
    </row>
    <row r="583" spans="2:20" s="207" customFormat="1" x14ac:dyDescent="0.25">
      <c r="B583" s="236"/>
      <c r="C583" s="236"/>
      <c r="D583" s="236"/>
      <c r="E583" s="236"/>
      <c r="F583" s="236"/>
      <c r="G583" s="236"/>
      <c r="H583" s="236"/>
      <c r="I583" s="236"/>
      <c r="J583" s="236"/>
      <c r="K583" s="236"/>
      <c r="L583" s="236"/>
      <c r="M583" s="236"/>
      <c r="N583" s="236"/>
      <c r="O583" s="236"/>
      <c r="P583" s="236"/>
      <c r="Q583" s="236"/>
      <c r="R583" s="236"/>
      <c r="S583" s="236"/>
      <c r="T583" s="236"/>
    </row>
    <row r="584" spans="2:20" s="207" customFormat="1" x14ac:dyDescent="0.25">
      <c r="B584" s="236"/>
      <c r="C584" s="236"/>
      <c r="D584" s="236"/>
      <c r="E584" s="236"/>
      <c r="F584" s="236"/>
      <c r="G584" s="236"/>
      <c r="H584" s="236"/>
      <c r="I584" s="236"/>
      <c r="J584" s="236"/>
      <c r="K584" s="236"/>
      <c r="L584" s="236"/>
      <c r="M584" s="236"/>
      <c r="N584" s="236"/>
      <c r="O584" s="236"/>
      <c r="P584" s="236"/>
      <c r="Q584" s="236"/>
      <c r="R584" s="236"/>
      <c r="S584" s="236"/>
      <c r="T584" s="236"/>
    </row>
    <row r="585" spans="2:20" s="207" customFormat="1" x14ac:dyDescent="0.25">
      <c r="B585" s="236"/>
      <c r="C585" s="236"/>
      <c r="D585" s="236"/>
      <c r="E585" s="236"/>
      <c r="F585" s="236"/>
      <c r="G585" s="236"/>
      <c r="H585" s="236"/>
      <c r="I585" s="236"/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236"/>
    </row>
    <row r="586" spans="2:20" s="207" customFormat="1" x14ac:dyDescent="0.25">
      <c r="B586" s="236"/>
      <c r="C586" s="236"/>
      <c r="D586" s="236"/>
      <c r="E586" s="236"/>
      <c r="F586" s="236"/>
      <c r="G586" s="236"/>
      <c r="H586" s="236"/>
      <c r="I586" s="236"/>
      <c r="J586" s="236"/>
      <c r="K586" s="236"/>
      <c r="L586" s="236"/>
      <c r="M586" s="236"/>
      <c r="N586" s="236"/>
      <c r="O586" s="236"/>
      <c r="P586" s="236"/>
      <c r="Q586" s="236"/>
      <c r="R586" s="236"/>
      <c r="S586" s="236"/>
      <c r="T586" s="236"/>
    </row>
    <row r="587" spans="2:20" s="207" customFormat="1" x14ac:dyDescent="0.25">
      <c r="B587" s="236"/>
      <c r="C587" s="236"/>
      <c r="D587" s="236"/>
      <c r="E587" s="236"/>
      <c r="F587" s="236"/>
      <c r="G587" s="236"/>
      <c r="H587" s="236"/>
      <c r="I587" s="236"/>
      <c r="J587" s="236"/>
      <c r="K587" s="236"/>
      <c r="L587" s="236"/>
      <c r="M587" s="236"/>
      <c r="N587" s="236"/>
      <c r="O587" s="236"/>
      <c r="P587" s="236"/>
      <c r="Q587" s="236"/>
      <c r="R587" s="236"/>
      <c r="S587" s="236"/>
      <c r="T587" s="236"/>
    </row>
    <row r="588" spans="2:20" s="207" customFormat="1" x14ac:dyDescent="0.25">
      <c r="B588" s="236"/>
      <c r="C588" s="236"/>
      <c r="D588" s="236"/>
      <c r="E588" s="236"/>
      <c r="F588" s="236"/>
      <c r="G588" s="236"/>
      <c r="H588" s="236"/>
      <c r="I588" s="236"/>
      <c r="J588" s="236"/>
      <c r="K588" s="236"/>
      <c r="L588" s="236"/>
      <c r="M588" s="236"/>
      <c r="N588" s="236"/>
      <c r="O588" s="236"/>
      <c r="P588" s="236"/>
      <c r="Q588" s="236"/>
      <c r="R588" s="236"/>
      <c r="S588" s="236"/>
      <c r="T588" s="236"/>
    </row>
    <row r="589" spans="2:20" s="207" customFormat="1" x14ac:dyDescent="0.25">
      <c r="B589" s="236"/>
      <c r="C589" s="236"/>
      <c r="D589" s="236"/>
      <c r="E589" s="236"/>
      <c r="F589" s="236"/>
      <c r="G589" s="236"/>
      <c r="H589" s="236"/>
      <c r="I589" s="236"/>
      <c r="J589" s="236"/>
      <c r="K589" s="236"/>
      <c r="L589" s="236"/>
      <c r="M589" s="236"/>
      <c r="N589" s="236"/>
      <c r="O589" s="236"/>
      <c r="P589" s="236"/>
      <c r="Q589" s="236"/>
      <c r="R589" s="236"/>
      <c r="S589" s="236"/>
      <c r="T589" s="236"/>
    </row>
    <row r="590" spans="2:20" s="207" customFormat="1" x14ac:dyDescent="0.25">
      <c r="B590" s="236"/>
      <c r="C590" s="236"/>
      <c r="D590" s="236"/>
      <c r="E590" s="236"/>
      <c r="F590" s="236"/>
      <c r="G590" s="236"/>
      <c r="H590" s="236"/>
      <c r="I590" s="236"/>
      <c r="J590" s="236"/>
      <c r="K590" s="236"/>
      <c r="L590" s="236"/>
      <c r="M590" s="236"/>
      <c r="N590" s="236"/>
      <c r="O590" s="236"/>
      <c r="P590" s="236"/>
      <c r="Q590" s="236"/>
      <c r="R590" s="236"/>
      <c r="S590" s="236"/>
      <c r="T590" s="236"/>
    </row>
    <row r="591" spans="2:20" s="207" customFormat="1" x14ac:dyDescent="0.25">
      <c r="B591" s="236"/>
      <c r="C591" s="236"/>
      <c r="D591" s="236"/>
      <c r="E591" s="236"/>
      <c r="F591" s="236"/>
      <c r="G591" s="236"/>
      <c r="H591" s="236"/>
      <c r="I591" s="236"/>
      <c r="J591" s="236"/>
      <c r="K591" s="236"/>
      <c r="L591" s="236"/>
      <c r="M591" s="236"/>
      <c r="N591" s="236"/>
      <c r="O591" s="236"/>
      <c r="P591" s="236"/>
      <c r="Q591" s="236"/>
      <c r="R591" s="236"/>
      <c r="S591" s="236"/>
      <c r="T591" s="236"/>
    </row>
    <row r="592" spans="2:20" s="207" customFormat="1" ht="26.25" x14ac:dyDescent="0.4">
      <c r="B592" s="236"/>
      <c r="C592" s="236"/>
      <c r="D592" s="236"/>
      <c r="E592" s="236"/>
      <c r="F592" s="236"/>
      <c r="G592" s="236"/>
      <c r="H592" s="282"/>
      <c r="I592" s="282"/>
      <c r="J592" s="236"/>
      <c r="K592" s="236"/>
      <c r="L592" s="236"/>
      <c r="M592" s="236"/>
      <c r="N592" s="236"/>
      <c r="O592" s="236"/>
      <c r="P592" s="236"/>
      <c r="Q592" s="236"/>
      <c r="R592" s="236"/>
      <c r="S592" s="236"/>
      <c r="T592" s="236"/>
    </row>
    <row r="593" spans="1:20" x14ac:dyDescent="0.25">
      <c r="H593" s="218"/>
      <c r="I593" s="218"/>
    </row>
    <row r="597" spans="1:20" ht="32.25" thickBot="1" x14ac:dyDescent="0.55000000000000004">
      <c r="B597" s="224" t="s">
        <v>262</v>
      </c>
      <c r="C597" s="228"/>
      <c r="D597" s="226"/>
      <c r="E597" s="226"/>
      <c r="F597" s="227"/>
      <c r="G597" s="228"/>
      <c r="H597" s="228"/>
      <c r="I597" s="228"/>
      <c r="J597" s="227"/>
      <c r="K597" s="227"/>
      <c r="L597" s="227"/>
      <c r="M597" s="227"/>
      <c r="N597" s="227"/>
      <c r="O597" s="227"/>
      <c r="P597" s="227"/>
      <c r="Q597" s="228"/>
      <c r="R597" s="228"/>
      <c r="S597" s="228"/>
    </row>
    <row r="598" spans="1:20" s="1" customFormat="1" ht="18.75" customHeight="1" x14ac:dyDescent="0.25">
      <c r="A598" s="10"/>
      <c r="B598" s="218"/>
      <c r="C598" s="283" t="s">
        <v>263</v>
      </c>
      <c r="D598" s="234"/>
      <c r="E598" s="234"/>
      <c r="F598" s="234"/>
      <c r="G598" s="218"/>
      <c r="H598" s="234"/>
      <c r="I598" s="234"/>
      <c r="J598" s="220"/>
      <c r="K598" s="220"/>
      <c r="L598" s="220"/>
      <c r="M598" s="220"/>
      <c r="N598" s="220"/>
      <c r="O598" s="220"/>
      <c r="P598" s="220"/>
      <c r="Q598" s="220"/>
      <c r="R598" s="220"/>
      <c r="S598" s="218"/>
      <c r="T598" s="220"/>
    </row>
    <row r="600" spans="1:20" x14ac:dyDescent="0.25">
      <c r="D600" s="218"/>
      <c r="E600" s="218"/>
      <c r="F600" s="218"/>
    </row>
    <row r="601" spans="1:20" ht="21" x14ac:dyDescent="0.25">
      <c r="C601" s="284" t="s">
        <v>385</v>
      </c>
      <c r="D601" s="218"/>
      <c r="E601" s="218"/>
      <c r="F601" s="218"/>
    </row>
    <row r="602" spans="1:20" x14ac:dyDescent="0.25">
      <c r="D602" s="218"/>
      <c r="E602" s="218"/>
      <c r="F602" s="218"/>
    </row>
    <row r="603" spans="1:20" x14ac:dyDescent="0.25">
      <c r="D603" s="218"/>
      <c r="E603" s="218"/>
      <c r="F603" s="218"/>
    </row>
    <row r="604" spans="1:20" s="1" customFormat="1" ht="18.75" customHeight="1" x14ac:dyDescent="0.25">
      <c r="B604" s="218"/>
      <c r="C604" s="284" t="s">
        <v>264</v>
      </c>
      <c r="D604" s="218"/>
      <c r="E604" s="218"/>
      <c r="F604" s="218"/>
      <c r="G604" s="218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</row>
    <row r="605" spans="1:20" x14ac:dyDescent="0.25">
      <c r="D605" s="218"/>
      <c r="E605" s="218"/>
      <c r="F605" s="218"/>
    </row>
    <row r="606" spans="1:20" x14ac:dyDescent="0.25">
      <c r="D606" s="218"/>
      <c r="E606" s="218"/>
      <c r="S606" s="229"/>
      <c r="T606" s="234"/>
    </row>
    <row r="607" spans="1:20" s="207" customFormat="1" ht="38.25" x14ac:dyDescent="0.25">
      <c r="B607" s="236"/>
      <c r="C607" s="236"/>
      <c r="D607" s="270"/>
      <c r="E607" s="271" t="s">
        <v>146</v>
      </c>
      <c r="F607" s="271" t="s">
        <v>147</v>
      </c>
      <c r="G607" s="271" t="s">
        <v>148</v>
      </c>
      <c r="H607" s="271" t="s">
        <v>149</v>
      </c>
      <c r="I607" s="236"/>
      <c r="J607" s="236"/>
      <c r="K607" s="236"/>
      <c r="L607" s="236"/>
      <c r="M607" s="236"/>
      <c r="N607" s="236"/>
      <c r="O607" s="236"/>
      <c r="P607" s="236"/>
      <c r="Q607" s="236"/>
      <c r="R607" s="236"/>
      <c r="S607" s="236"/>
      <c r="T607" s="236"/>
    </row>
    <row r="608" spans="1:20" s="207" customFormat="1" x14ac:dyDescent="0.25">
      <c r="B608" s="236"/>
      <c r="C608" s="236"/>
      <c r="D608" s="248" t="str">
        <f>Taules!C245</f>
        <v>TOTAL UPC</v>
      </c>
      <c r="E608" s="243">
        <f>Taules!F245</f>
        <v>0.64935064935064934</v>
      </c>
      <c r="F608" s="243">
        <f>Taules!H245</f>
        <v>0.23376623376623376</v>
      </c>
      <c r="G608" s="243">
        <f>Taules!J245</f>
        <v>9.0909090909090912E-2</v>
      </c>
      <c r="H608" s="243">
        <f>Taules!L245</f>
        <v>2.5974025974025976E-2</v>
      </c>
      <c r="I608" s="236"/>
      <c r="J608" s="236"/>
      <c r="K608" s="236"/>
      <c r="L608" s="236"/>
      <c r="M608" s="236"/>
      <c r="N608" s="236"/>
      <c r="O608" s="236"/>
      <c r="P608" s="236"/>
      <c r="Q608" s="236"/>
      <c r="R608" s="236"/>
      <c r="S608" s="236"/>
      <c r="T608" s="236"/>
    </row>
    <row r="609" spans="2:20" s="207" customFormat="1" x14ac:dyDescent="0.25">
      <c r="B609" s="236"/>
      <c r="C609" s="236"/>
      <c r="D609" s="285"/>
      <c r="E609" s="285"/>
      <c r="F609" s="285"/>
      <c r="G609" s="236"/>
      <c r="H609" s="236"/>
      <c r="I609" s="236"/>
      <c r="J609" s="236"/>
      <c r="K609" s="236"/>
      <c r="L609" s="236"/>
      <c r="M609" s="236"/>
      <c r="N609" s="236"/>
      <c r="O609" s="236"/>
      <c r="P609" s="236"/>
      <c r="Q609" s="236"/>
      <c r="R609" s="236"/>
      <c r="S609" s="236"/>
      <c r="T609" s="236"/>
    </row>
    <row r="610" spans="2:20" s="207" customFormat="1" x14ac:dyDescent="0.25">
      <c r="B610" s="236"/>
      <c r="C610" s="236"/>
      <c r="D610" s="285"/>
      <c r="E610" s="285"/>
      <c r="F610" s="285"/>
      <c r="G610" s="236"/>
      <c r="H610" s="236"/>
      <c r="I610" s="236"/>
      <c r="J610" s="236"/>
      <c r="K610" s="236"/>
      <c r="L610" s="236"/>
      <c r="M610" s="236"/>
      <c r="N610" s="236"/>
      <c r="O610" s="236"/>
      <c r="P610" s="236"/>
      <c r="Q610" s="236"/>
      <c r="R610" s="236"/>
      <c r="S610" s="236"/>
      <c r="T610" s="236"/>
    </row>
    <row r="611" spans="2:20" s="207" customFormat="1" x14ac:dyDescent="0.25">
      <c r="B611" s="236"/>
      <c r="C611" s="236"/>
      <c r="D611" s="285"/>
      <c r="E611" s="285"/>
      <c r="F611" s="285"/>
      <c r="G611" s="236"/>
      <c r="H611" s="236"/>
      <c r="I611" s="236"/>
      <c r="J611" s="236"/>
      <c r="K611" s="236"/>
      <c r="L611" s="236"/>
      <c r="M611" s="236"/>
      <c r="N611" s="236"/>
      <c r="O611" s="236"/>
      <c r="P611" s="236"/>
      <c r="Q611" s="236"/>
      <c r="R611" s="236"/>
      <c r="S611" s="236"/>
      <c r="T611" s="236"/>
    </row>
    <row r="612" spans="2:20" s="207" customFormat="1" x14ac:dyDescent="0.25">
      <c r="B612" s="236"/>
      <c r="C612" s="236"/>
      <c r="D612" s="285"/>
      <c r="E612" s="285"/>
      <c r="F612" s="285"/>
      <c r="G612" s="236"/>
      <c r="H612" s="236"/>
      <c r="I612" s="236"/>
      <c r="J612" s="236"/>
      <c r="K612" s="236"/>
      <c r="L612" s="236"/>
      <c r="M612" s="236"/>
      <c r="N612" s="236"/>
      <c r="O612" s="236"/>
      <c r="P612" s="236"/>
      <c r="Q612" s="236"/>
      <c r="R612" s="236"/>
      <c r="S612" s="236"/>
      <c r="T612" s="236"/>
    </row>
    <row r="613" spans="2:20" s="207" customFormat="1" x14ac:dyDescent="0.25">
      <c r="B613" s="236"/>
      <c r="C613" s="236"/>
      <c r="D613" s="285"/>
      <c r="E613" s="285"/>
      <c r="F613" s="285"/>
      <c r="G613" s="236"/>
      <c r="H613" s="236"/>
      <c r="I613" s="236"/>
      <c r="J613" s="236"/>
      <c r="K613" s="236"/>
      <c r="L613" s="236"/>
      <c r="M613" s="236"/>
      <c r="N613" s="236"/>
      <c r="O613" s="236"/>
      <c r="P613" s="236"/>
      <c r="Q613" s="236"/>
      <c r="R613" s="236"/>
      <c r="S613" s="236"/>
      <c r="T613" s="236"/>
    </row>
    <row r="614" spans="2:20" s="207" customFormat="1" x14ac:dyDescent="0.25">
      <c r="B614" s="236"/>
      <c r="C614" s="236"/>
      <c r="D614" s="285"/>
      <c r="E614" s="285"/>
      <c r="F614" s="285"/>
      <c r="G614" s="236"/>
      <c r="H614" s="236"/>
      <c r="I614" s="236"/>
      <c r="J614" s="236"/>
      <c r="K614" s="236"/>
      <c r="L614" s="236"/>
      <c r="M614" s="236"/>
      <c r="N614" s="236"/>
      <c r="O614" s="236"/>
      <c r="P614" s="236"/>
      <c r="Q614" s="236"/>
      <c r="R614" s="236"/>
      <c r="S614" s="236"/>
      <c r="T614" s="236"/>
    </row>
    <row r="615" spans="2:20" s="207" customFormat="1" x14ac:dyDescent="0.25">
      <c r="B615" s="236"/>
      <c r="C615" s="236"/>
      <c r="D615" s="285"/>
      <c r="E615" s="285"/>
      <c r="F615" s="285"/>
      <c r="G615" s="236"/>
      <c r="H615" s="236"/>
      <c r="I615" s="236"/>
      <c r="J615" s="236"/>
      <c r="K615" s="236"/>
      <c r="L615" s="236"/>
      <c r="M615" s="236"/>
      <c r="N615" s="236"/>
      <c r="O615" s="236"/>
      <c r="P615" s="236"/>
      <c r="Q615" s="236"/>
      <c r="R615" s="236"/>
      <c r="S615" s="236"/>
      <c r="T615" s="236"/>
    </row>
    <row r="616" spans="2:20" s="207" customFormat="1" x14ac:dyDescent="0.25">
      <c r="B616" s="236"/>
      <c r="C616" s="236"/>
      <c r="D616" s="285"/>
      <c r="E616" s="285"/>
      <c r="F616" s="285"/>
      <c r="G616" s="236"/>
      <c r="H616" s="236"/>
      <c r="I616" s="236"/>
      <c r="J616" s="236"/>
      <c r="K616" s="236"/>
      <c r="L616" s="236"/>
      <c r="M616" s="236"/>
      <c r="N616" s="236"/>
      <c r="O616" s="236"/>
      <c r="P616" s="236"/>
      <c r="Q616" s="236"/>
      <c r="R616" s="236"/>
      <c r="S616" s="236"/>
      <c r="T616" s="236"/>
    </row>
    <row r="617" spans="2:20" s="207" customFormat="1" x14ac:dyDescent="0.25">
      <c r="B617" s="236"/>
      <c r="C617" s="236"/>
      <c r="D617" s="285"/>
      <c r="E617" s="285"/>
      <c r="F617" s="285"/>
      <c r="G617" s="236"/>
      <c r="H617" s="236"/>
      <c r="I617" s="236"/>
      <c r="J617" s="236"/>
      <c r="K617" s="236"/>
      <c r="L617" s="236"/>
      <c r="M617" s="236"/>
      <c r="N617" s="236"/>
      <c r="O617" s="236"/>
      <c r="P617" s="236"/>
      <c r="Q617" s="236"/>
      <c r="R617" s="236"/>
      <c r="S617" s="236"/>
      <c r="T617" s="236"/>
    </row>
    <row r="618" spans="2:20" s="207" customFormat="1" x14ac:dyDescent="0.25">
      <c r="B618" s="236"/>
      <c r="C618" s="236"/>
      <c r="D618" s="285"/>
      <c r="E618" s="285"/>
      <c r="F618" s="285"/>
      <c r="G618" s="236"/>
      <c r="H618" s="236"/>
      <c r="I618" s="236"/>
      <c r="J618" s="236"/>
      <c r="K618" s="236"/>
      <c r="L618" s="236"/>
      <c r="M618" s="236"/>
      <c r="N618" s="236"/>
      <c r="O618" s="236"/>
      <c r="P618" s="236"/>
      <c r="Q618" s="236"/>
      <c r="R618" s="236"/>
      <c r="S618" s="236"/>
      <c r="T618" s="236"/>
    </row>
    <row r="619" spans="2:20" s="207" customFormat="1" x14ac:dyDescent="0.25">
      <c r="B619" s="236"/>
      <c r="C619" s="236"/>
      <c r="D619" s="285"/>
      <c r="E619" s="285"/>
      <c r="F619" s="285"/>
      <c r="G619" s="236"/>
      <c r="H619" s="236"/>
      <c r="I619" s="236"/>
      <c r="J619" s="236"/>
      <c r="K619" s="236"/>
      <c r="L619" s="236"/>
      <c r="M619" s="236"/>
      <c r="N619" s="236"/>
      <c r="O619" s="236"/>
      <c r="P619" s="236"/>
      <c r="Q619" s="236"/>
      <c r="R619" s="236"/>
      <c r="S619" s="236"/>
      <c r="T619" s="236"/>
    </row>
    <row r="620" spans="2:20" s="207" customFormat="1" x14ac:dyDescent="0.25">
      <c r="B620" s="236"/>
      <c r="C620" s="236"/>
      <c r="D620" s="285"/>
      <c r="E620" s="285"/>
      <c r="F620" s="285"/>
      <c r="G620" s="236"/>
      <c r="H620" s="236"/>
      <c r="I620" s="236"/>
      <c r="J620" s="236"/>
      <c r="K620" s="236"/>
      <c r="L620" s="236"/>
      <c r="M620" s="236"/>
      <c r="N620" s="236"/>
      <c r="O620" s="236"/>
      <c r="P620" s="236"/>
      <c r="Q620" s="236"/>
      <c r="R620" s="236"/>
      <c r="S620" s="236"/>
      <c r="T620" s="236"/>
    </row>
    <row r="621" spans="2:20" s="207" customFormat="1" x14ac:dyDescent="0.25">
      <c r="B621" s="236"/>
      <c r="C621" s="236"/>
      <c r="D621" s="285"/>
      <c r="E621" s="285"/>
      <c r="F621" s="285"/>
      <c r="G621" s="236"/>
      <c r="H621" s="236"/>
      <c r="I621" s="236"/>
      <c r="J621" s="236"/>
      <c r="K621" s="236"/>
      <c r="L621" s="236"/>
      <c r="M621" s="236"/>
      <c r="N621" s="236"/>
      <c r="O621" s="236"/>
      <c r="P621" s="236"/>
      <c r="Q621" s="236"/>
      <c r="R621" s="236"/>
      <c r="S621" s="236"/>
      <c r="T621" s="236"/>
    </row>
    <row r="622" spans="2:20" s="207" customFormat="1" x14ac:dyDescent="0.25">
      <c r="B622" s="236"/>
      <c r="C622" s="236"/>
      <c r="D622" s="285"/>
      <c r="E622" s="285"/>
      <c r="F622" s="285"/>
      <c r="G622" s="236"/>
      <c r="H622" s="236"/>
      <c r="I622" s="236"/>
      <c r="J622" s="236"/>
      <c r="K622" s="236"/>
      <c r="L622" s="236"/>
      <c r="M622" s="236"/>
      <c r="N622" s="236"/>
      <c r="O622" s="236"/>
      <c r="P622" s="236"/>
      <c r="Q622" s="236"/>
      <c r="R622" s="236"/>
      <c r="S622" s="236"/>
      <c r="T622" s="236"/>
    </row>
    <row r="623" spans="2:20" s="207" customFormat="1" x14ac:dyDescent="0.25">
      <c r="B623" s="236"/>
      <c r="C623" s="236"/>
      <c r="D623" s="285"/>
      <c r="E623" s="285"/>
      <c r="F623" s="285"/>
      <c r="G623" s="236"/>
      <c r="H623" s="236"/>
      <c r="I623" s="236"/>
      <c r="J623" s="236"/>
      <c r="K623" s="236"/>
      <c r="L623" s="236"/>
      <c r="M623" s="236"/>
      <c r="N623" s="236"/>
      <c r="O623" s="236"/>
      <c r="P623" s="236"/>
      <c r="Q623" s="236"/>
      <c r="R623" s="236"/>
      <c r="S623" s="236"/>
      <c r="T623" s="236"/>
    </row>
    <row r="624" spans="2:20" s="207" customFormat="1" x14ac:dyDescent="0.25">
      <c r="B624" s="236"/>
      <c r="C624" s="236"/>
      <c r="D624" s="285"/>
      <c r="E624" s="285"/>
      <c r="F624" s="285"/>
      <c r="G624" s="236"/>
      <c r="H624" s="236"/>
      <c r="I624" s="236"/>
      <c r="J624" s="236"/>
      <c r="K624" s="236"/>
      <c r="L624" s="236"/>
      <c r="M624" s="236"/>
      <c r="N624" s="236"/>
      <c r="O624" s="236"/>
      <c r="P624" s="236"/>
      <c r="Q624" s="236"/>
      <c r="R624" s="236"/>
      <c r="S624" s="236"/>
      <c r="T624" s="236"/>
    </row>
    <row r="625" spans="2:20" s="207" customFormat="1" x14ac:dyDescent="0.25">
      <c r="B625" s="236"/>
      <c r="C625" s="236"/>
      <c r="D625" s="285"/>
      <c r="E625" s="285"/>
      <c r="F625" s="285"/>
      <c r="G625" s="236"/>
      <c r="H625" s="236"/>
      <c r="I625" s="236"/>
      <c r="J625" s="236"/>
      <c r="K625" s="236"/>
      <c r="L625" s="236"/>
      <c r="M625" s="236"/>
      <c r="N625" s="236"/>
      <c r="O625" s="236"/>
      <c r="P625" s="236"/>
      <c r="Q625" s="236"/>
      <c r="R625" s="236"/>
      <c r="S625" s="236"/>
      <c r="T625" s="236"/>
    </row>
    <row r="626" spans="2:20" s="207" customFormat="1" x14ac:dyDescent="0.25">
      <c r="B626" s="236"/>
      <c r="C626" s="236"/>
      <c r="D626" s="285"/>
      <c r="E626" s="285"/>
      <c r="F626" s="285"/>
      <c r="G626" s="236"/>
      <c r="H626" s="236"/>
      <c r="I626" s="236"/>
      <c r="J626" s="236"/>
      <c r="K626" s="236"/>
      <c r="L626" s="236"/>
      <c r="M626" s="236"/>
      <c r="N626" s="236"/>
      <c r="O626" s="236"/>
      <c r="P626" s="236"/>
      <c r="Q626" s="236"/>
      <c r="R626" s="236"/>
      <c r="S626" s="236"/>
      <c r="T626" s="236"/>
    </row>
    <row r="627" spans="2:20" x14ac:dyDescent="0.25">
      <c r="D627" s="218"/>
      <c r="E627" s="218"/>
      <c r="F627" s="218"/>
    </row>
    <row r="628" spans="2:20" x14ac:dyDescent="0.25">
      <c r="D628" s="218"/>
      <c r="E628" s="218"/>
      <c r="F628" s="218"/>
    </row>
    <row r="629" spans="2:20" x14ac:dyDescent="0.25">
      <c r="D629" s="218"/>
      <c r="E629" s="218"/>
      <c r="F629" s="218"/>
    </row>
    <row r="630" spans="2:20" x14ac:dyDescent="0.25">
      <c r="D630" s="218"/>
      <c r="E630" s="218"/>
      <c r="F630" s="218"/>
    </row>
    <row r="631" spans="2:20" x14ac:dyDescent="0.25">
      <c r="D631" s="218"/>
      <c r="E631" s="218"/>
      <c r="F631" s="218"/>
    </row>
    <row r="632" spans="2:20" x14ac:dyDescent="0.25">
      <c r="D632" s="218"/>
      <c r="E632" s="218"/>
      <c r="F632" s="218"/>
    </row>
    <row r="633" spans="2:20" x14ac:dyDescent="0.25">
      <c r="D633" s="218"/>
      <c r="E633" s="218"/>
      <c r="F633" s="218"/>
    </row>
    <row r="634" spans="2:20" x14ac:dyDescent="0.25">
      <c r="D634" s="218"/>
      <c r="E634" s="218"/>
      <c r="F634" s="218"/>
    </row>
    <row r="635" spans="2:20" s="1" customFormat="1" ht="18.75" customHeight="1" x14ac:dyDescent="0.25">
      <c r="B635" s="218"/>
      <c r="C635" s="284" t="s">
        <v>265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</row>
    <row r="636" spans="2:20" x14ac:dyDescent="0.25">
      <c r="D636" s="218"/>
      <c r="E636" s="218"/>
      <c r="F636" s="218"/>
    </row>
    <row r="637" spans="2:20" s="207" customFormat="1" x14ac:dyDescent="0.25">
      <c r="B637" s="236"/>
      <c r="C637" s="236"/>
      <c r="D637" s="285"/>
      <c r="E637" s="285"/>
      <c r="F637" s="236"/>
      <c r="G637" s="236"/>
      <c r="H637" s="236"/>
      <c r="I637" s="236"/>
      <c r="J637" s="236"/>
      <c r="K637" s="236"/>
      <c r="L637" s="236"/>
      <c r="M637" s="236"/>
      <c r="N637" s="236"/>
      <c r="O637" s="236"/>
      <c r="P637" s="236"/>
      <c r="Q637" s="236"/>
      <c r="R637" s="236"/>
      <c r="S637" s="236"/>
      <c r="T637" s="236"/>
    </row>
    <row r="638" spans="2:20" s="207" customFormat="1" x14ac:dyDescent="0.25">
      <c r="B638" s="236"/>
      <c r="C638" s="236"/>
      <c r="D638" s="267"/>
      <c r="E638" s="267" t="s">
        <v>195</v>
      </c>
      <c r="F638" s="271">
        <v>0</v>
      </c>
      <c r="G638" s="271" t="s">
        <v>153</v>
      </c>
      <c r="H638" s="286" t="s">
        <v>154</v>
      </c>
      <c r="I638" s="271" t="s">
        <v>155</v>
      </c>
      <c r="J638" s="236"/>
      <c r="K638" s="236"/>
      <c r="L638" s="236"/>
      <c r="M638" s="236"/>
      <c r="N638" s="236"/>
      <c r="O638" s="236"/>
      <c r="P638" s="236"/>
      <c r="Q638" s="236"/>
      <c r="R638" s="236"/>
      <c r="S638" s="236"/>
      <c r="T638" s="236"/>
    </row>
    <row r="639" spans="2:20" s="207" customFormat="1" x14ac:dyDescent="0.25">
      <c r="B639" s="236"/>
      <c r="C639" s="236"/>
      <c r="D639" s="248" t="str">
        <f>Taules!C253</f>
        <v>TOTAL UPC</v>
      </c>
      <c r="E639" s="248">
        <f>Taules!E253</f>
        <v>1</v>
      </c>
      <c r="F639" s="243">
        <f>Taules!H253</f>
        <v>0.35064935064935066</v>
      </c>
      <c r="G639" s="243">
        <f>Taules!J253</f>
        <v>0.51948051948051943</v>
      </c>
      <c r="H639" s="243">
        <f>Taules!L253</f>
        <v>0.11688311688311688</v>
      </c>
      <c r="I639" s="243">
        <f>Taules!N253</f>
        <v>6.4935064935064939E-3</v>
      </c>
      <c r="J639" s="236"/>
      <c r="K639" s="236"/>
      <c r="L639" s="236"/>
      <c r="M639" s="236"/>
      <c r="N639" s="236"/>
      <c r="O639" s="236"/>
      <c r="P639" s="236"/>
      <c r="Q639" s="236"/>
      <c r="R639" s="236"/>
      <c r="S639" s="236"/>
      <c r="T639" s="236"/>
    </row>
    <row r="640" spans="2:20" s="207" customFormat="1" x14ac:dyDescent="0.25">
      <c r="B640" s="236"/>
      <c r="C640" s="236"/>
      <c r="D640" s="285"/>
      <c r="E640" s="285"/>
      <c r="F640" s="285"/>
      <c r="G640" s="236"/>
      <c r="H640" s="236"/>
      <c r="I640" s="236"/>
      <c r="J640" s="236"/>
      <c r="K640" s="236"/>
      <c r="L640" s="236"/>
      <c r="M640" s="236"/>
      <c r="N640" s="236"/>
      <c r="O640" s="236"/>
      <c r="P640" s="236"/>
      <c r="Q640" s="236"/>
      <c r="R640" s="236"/>
      <c r="S640" s="236"/>
      <c r="T640" s="236"/>
    </row>
    <row r="641" spans="2:20" s="207" customFormat="1" x14ac:dyDescent="0.25">
      <c r="B641" s="236"/>
      <c r="C641" s="236"/>
      <c r="D641" s="285"/>
      <c r="E641" s="285"/>
      <c r="F641" s="285"/>
      <c r="G641" s="236"/>
      <c r="H641" s="236"/>
      <c r="I641" s="236"/>
      <c r="J641" s="236"/>
      <c r="K641" s="236"/>
      <c r="L641" s="236"/>
      <c r="M641" s="236"/>
      <c r="N641" s="236"/>
      <c r="O641" s="236"/>
      <c r="P641" s="236"/>
      <c r="Q641" s="236"/>
      <c r="R641" s="236"/>
      <c r="S641" s="236"/>
      <c r="T641" s="236"/>
    </row>
    <row r="642" spans="2:20" s="207" customFormat="1" x14ac:dyDescent="0.25">
      <c r="B642" s="236"/>
      <c r="C642" s="236"/>
      <c r="D642" s="285"/>
      <c r="E642" s="285"/>
      <c r="F642" s="285"/>
      <c r="G642" s="236"/>
      <c r="H642" s="236"/>
      <c r="I642" s="236"/>
      <c r="J642" s="236"/>
      <c r="K642" s="236"/>
      <c r="L642" s="236"/>
      <c r="M642" s="236"/>
      <c r="N642" s="236"/>
      <c r="O642" s="236"/>
      <c r="P642" s="236"/>
      <c r="Q642" s="236"/>
      <c r="R642" s="236"/>
      <c r="S642" s="236"/>
      <c r="T642" s="236"/>
    </row>
    <row r="643" spans="2:20" s="207" customFormat="1" x14ac:dyDescent="0.25">
      <c r="B643" s="236"/>
      <c r="C643" s="236"/>
      <c r="D643" s="285"/>
      <c r="E643" s="285"/>
      <c r="F643" s="285"/>
      <c r="G643" s="236"/>
      <c r="H643" s="236"/>
      <c r="I643" s="236"/>
      <c r="J643" s="236"/>
      <c r="K643" s="236"/>
      <c r="L643" s="236"/>
      <c r="M643" s="236"/>
      <c r="N643" s="236"/>
      <c r="O643" s="236"/>
      <c r="P643" s="236"/>
      <c r="Q643" s="236"/>
      <c r="R643" s="236"/>
      <c r="S643" s="236"/>
      <c r="T643" s="236"/>
    </row>
    <row r="644" spans="2:20" s="207" customFormat="1" x14ac:dyDescent="0.25">
      <c r="B644" s="236"/>
      <c r="C644" s="236"/>
      <c r="D644" s="285"/>
      <c r="E644" s="285"/>
      <c r="F644" s="285"/>
      <c r="G644" s="236"/>
      <c r="H644" s="236"/>
      <c r="I644" s="236"/>
      <c r="J644" s="236"/>
      <c r="K644" s="236"/>
      <c r="L644" s="236"/>
      <c r="M644" s="236"/>
      <c r="N644" s="236"/>
      <c r="O644" s="236"/>
      <c r="P644" s="236"/>
      <c r="Q644" s="236"/>
      <c r="R644" s="236"/>
      <c r="S644" s="236"/>
      <c r="T644" s="236"/>
    </row>
    <row r="645" spans="2:20" s="207" customFormat="1" x14ac:dyDescent="0.25">
      <c r="B645" s="236"/>
      <c r="C645" s="236"/>
      <c r="D645" s="285"/>
      <c r="E645" s="285"/>
      <c r="F645" s="285"/>
      <c r="G645" s="236"/>
      <c r="H645" s="236"/>
      <c r="I645" s="236"/>
      <c r="J645" s="236"/>
      <c r="K645" s="236"/>
      <c r="L645" s="236"/>
      <c r="M645" s="236"/>
      <c r="N645" s="236"/>
      <c r="O645" s="236"/>
      <c r="P645" s="236"/>
      <c r="Q645" s="236"/>
      <c r="R645" s="236"/>
      <c r="S645" s="236"/>
      <c r="T645" s="236"/>
    </row>
    <row r="646" spans="2:20" s="207" customFormat="1" x14ac:dyDescent="0.25">
      <c r="B646" s="236"/>
      <c r="C646" s="236"/>
      <c r="D646" s="285"/>
      <c r="E646" s="285"/>
      <c r="F646" s="285"/>
      <c r="G646" s="236"/>
      <c r="H646" s="236"/>
      <c r="I646" s="236"/>
      <c r="J646" s="236"/>
      <c r="K646" s="236"/>
      <c r="L646" s="236"/>
      <c r="M646" s="236"/>
      <c r="N646" s="236"/>
      <c r="O646" s="236"/>
      <c r="P646" s="236"/>
      <c r="Q646" s="236"/>
      <c r="R646" s="236"/>
      <c r="S646" s="236"/>
      <c r="T646" s="236"/>
    </row>
    <row r="647" spans="2:20" s="207" customFormat="1" x14ac:dyDescent="0.25">
      <c r="B647" s="236"/>
      <c r="C647" s="236"/>
      <c r="D647" s="285"/>
      <c r="E647" s="285"/>
      <c r="F647" s="285"/>
      <c r="G647" s="236"/>
      <c r="H647" s="236"/>
      <c r="I647" s="236"/>
      <c r="J647" s="236"/>
      <c r="K647" s="236"/>
      <c r="L647" s="236"/>
      <c r="M647" s="236"/>
      <c r="N647" s="236"/>
      <c r="O647" s="236"/>
      <c r="P647" s="236"/>
      <c r="Q647" s="236"/>
      <c r="R647" s="236"/>
      <c r="S647" s="236"/>
      <c r="T647" s="236"/>
    </row>
    <row r="648" spans="2:20" s="207" customFormat="1" x14ac:dyDescent="0.25">
      <c r="B648" s="236"/>
      <c r="C648" s="236"/>
      <c r="D648" s="285"/>
      <c r="E648" s="285"/>
      <c r="F648" s="285"/>
      <c r="G648" s="236"/>
      <c r="H648" s="236"/>
      <c r="I648" s="236"/>
      <c r="J648" s="236"/>
      <c r="K648" s="236"/>
      <c r="L648" s="236"/>
      <c r="M648" s="236"/>
      <c r="N648" s="236"/>
      <c r="O648" s="236"/>
      <c r="P648" s="236"/>
      <c r="Q648" s="236"/>
      <c r="R648" s="236"/>
      <c r="S648" s="236"/>
      <c r="T648" s="236"/>
    </row>
    <row r="649" spans="2:20" s="207" customFormat="1" x14ac:dyDescent="0.25">
      <c r="B649" s="236"/>
      <c r="C649" s="236"/>
      <c r="D649" s="285"/>
      <c r="E649" s="285"/>
      <c r="F649" s="285"/>
      <c r="G649" s="236"/>
      <c r="H649" s="236"/>
      <c r="I649" s="236"/>
      <c r="J649" s="236"/>
      <c r="K649" s="236"/>
      <c r="L649" s="236"/>
      <c r="M649" s="236"/>
      <c r="N649" s="236"/>
      <c r="O649" s="236"/>
      <c r="P649" s="236"/>
      <c r="Q649" s="236"/>
      <c r="R649" s="236"/>
      <c r="S649" s="236"/>
      <c r="T649" s="236"/>
    </row>
    <row r="650" spans="2:20" s="207" customFormat="1" x14ac:dyDescent="0.25">
      <c r="B650" s="236"/>
      <c r="C650" s="236"/>
      <c r="D650" s="285"/>
      <c r="E650" s="285"/>
      <c r="F650" s="285"/>
      <c r="G650" s="236"/>
      <c r="H650" s="236"/>
      <c r="I650" s="236"/>
      <c r="J650" s="236"/>
      <c r="K650" s="236"/>
      <c r="L650" s="236"/>
      <c r="M650" s="236"/>
      <c r="N650" s="236"/>
      <c r="O650" s="236"/>
      <c r="P650" s="236"/>
      <c r="Q650" s="236"/>
      <c r="R650" s="236"/>
      <c r="S650" s="236"/>
      <c r="T650" s="236"/>
    </row>
    <row r="651" spans="2:20" s="207" customFormat="1" x14ac:dyDescent="0.25">
      <c r="B651" s="236"/>
      <c r="C651" s="236"/>
      <c r="D651" s="285"/>
      <c r="E651" s="285"/>
      <c r="F651" s="285"/>
      <c r="G651" s="236"/>
      <c r="H651" s="236"/>
      <c r="I651" s="236"/>
      <c r="J651" s="236"/>
      <c r="K651" s="236"/>
      <c r="L651" s="236"/>
      <c r="M651" s="236"/>
      <c r="N651" s="236"/>
      <c r="O651" s="236"/>
      <c r="P651" s="236"/>
      <c r="Q651" s="236"/>
      <c r="R651" s="236"/>
      <c r="S651" s="236"/>
      <c r="T651" s="236"/>
    </row>
    <row r="652" spans="2:20" s="207" customFormat="1" x14ac:dyDescent="0.25">
      <c r="B652" s="236"/>
      <c r="C652" s="236"/>
      <c r="D652" s="285"/>
      <c r="E652" s="285"/>
      <c r="F652" s="285"/>
      <c r="G652" s="236"/>
      <c r="H652" s="236"/>
      <c r="I652" s="236"/>
      <c r="J652" s="236"/>
      <c r="K652" s="236"/>
      <c r="L652" s="236"/>
      <c r="M652" s="236"/>
      <c r="N652" s="236"/>
      <c r="O652" s="236"/>
      <c r="P652" s="236"/>
      <c r="Q652" s="236"/>
      <c r="R652" s="236"/>
      <c r="S652" s="236"/>
      <c r="T652" s="236"/>
    </row>
    <row r="653" spans="2:20" x14ac:dyDescent="0.25">
      <c r="D653" s="218"/>
      <c r="E653" s="218"/>
      <c r="F653" s="218"/>
    </row>
    <row r="654" spans="2:20" x14ac:dyDescent="0.25">
      <c r="D654" s="218"/>
      <c r="E654" s="218"/>
      <c r="F654" s="218"/>
    </row>
    <row r="655" spans="2:20" x14ac:dyDescent="0.25">
      <c r="D655" s="218"/>
      <c r="E655" s="218"/>
      <c r="F655" s="218"/>
    </row>
    <row r="656" spans="2:20" x14ac:dyDescent="0.25">
      <c r="D656" s="218"/>
      <c r="E656" s="218"/>
      <c r="F656" s="218"/>
    </row>
    <row r="657" spans="2:20" x14ac:dyDescent="0.25">
      <c r="D657" s="218"/>
      <c r="E657" s="218"/>
      <c r="F657" s="218"/>
    </row>
    <row r="658" spans="2:20" s="1" customFormat="1" ht="18.75" customHeight="1" x14ac:dyDescent="0.25">
      <c r="B658" s="218"/>
      <c r="C658" s="284" t="s">
        <v>266</v>
      </c>
      <c r="D658" s="218"/>
      <c r="E658" s="218"/>
      <c r="F658" s="218"/>
      <c r="G658" s="218"/>
      <c r="H658" s="218"/>
      <c r="I658" s="218"/>
      <c r="J658" s="218"/>
      <c r="K658" s="218"/>
      <c r="L658" s="218"/>
      <c r="M658" s="218"/>
      <c r="N658" s="218"/>
      <c r="O658" s="218"/>
      <c r="P658" s="218"/>
      <c r="Q658" s="218"/>
      <c r="R658" s="218"/>
      <c r="S658" s="218"/>
      <c r="T658" s="218"/>
    </row>
    <row r="659" spans="2:20" x14ac:dyDescent="0.25">
      <c r="D659" s="218"/>
      <c r="E659" s="218"/>
      <c r="F659" s="218"/>
    </row>
    <row r="660" spans="2:20" s="207" customFormat="1" x14ac:dyDescent="0.25">
      <c r="B660" s="236"/>
      <c r="C660" s="236"/>
      <c r="D660" s="285"/>
      <c r="E660" s="285"/>
      <c r="F660" s="285"/>
      <c r="G660" s="236"/>
      <c r="H660" s="236"/>
      <c r="I660" s="236"/>
      <c r="J660" s="236"/>
      <c r="K660" s="236"/>
      <c r="L660" s="236"/>
      <c r="M660" s="236"/>
      <c r="N660" s="236"/>
      <c r="O660" s="236"/>
      <c r="P660" s="236"/>
      <c r="Q660" s="236"/>
      <c r="R660" s="236"/>
      <c r="S660" s="236"/>
      <c r="T660" s="236"/>
    </row>
    <row r="661" spans="2:20" s="207" customFormat="1" x14ac:dyDescent="0.25">
      <c r="B661" s="236"/>
      <c r="C661" s="236"/>
      <c r="D661" s="285"/>
      <c r="E661" s="285"/>
      <c r="F661" s="285"/>
      <c r="G661" s="236"/>
      <c r="H661" s="236"/>
      <c r="I661" s="236"/>
      <c r="J661" s="236"/>
      <c r="K661" s="236"/>
      <c r="L661" s="236"/>
      <c r="M661" s="236"/>
      <c r="N661" s="236"/>
      <c r="O661" s="236"/>
      <c r="P661" s="236"/>
      <c r="Q661" s="236"/>
      <c r="R661" s="236"/>
      <c r="S661" s="236"/>
      <c r="T661" s="236"/>
    </row>
    <row r="662" spans="2:20" s="207" customFormat="1" ht="15" customHeight="1" x14ac:dyDescent="0.25">
      <c r="B662" s="236"/>
      <c r="C662" s="267"/>
      <c r="D662" s="271" t="s">
        <v>162</v>
      </c>
      <c r="E662" s="271" t="s">
        <v>39</v>
      </c>
      <c r="F662" s="271" t="s">
        <v>163</v>
      </c>
      <c r="G662" s="271" t="s">
        <v>166</v>
      </c>
      <c r="H662" s="271" t="s">
        <v>164</v>
      </c>
      <c r="I662" s="271" t="s">
        <v>36</v>
      </c>
      <c r="J662" s="271" t="s">
        <v>167</v>
      </c>
      <c r="K662" s="271" t="s">
        <v>169</v>
      </c>
      <c r="L662" s="271" t="s">
        <v>40</v>
      </c>
      <c r="M662" s="271" t="s">
        <v>165</v>
      </c>
      <c r="N662" s="271" t="s">
        <v>168</v>
      </c>
      <c r="O662" s="236"/>
      <c r="P662" s="236"/>
      <c r="Q662" s="236"/>
      <c r="R662" s="236"/>
      <c r="S662" s="236"/>
      <c r="T662" s="236"/>
    </row>
    <row r="663" spans="2:20" s="207" customFormat="1" x14ac:dyDescent="0.25">
      <c r="B663" s="236"/>
      <c r="C663" s="248" t="str">
        <f>Taules!C261</f>
        <v>TOTAL UPC</v>
      </c>
      <c r="D663" s="243">
        <f>Taules!G261</f>
        <v>0.17341040462427745</v>
      </c>
      <c r="E663" s="243">
        <f>Taules!Y261</f>
        <v>0.20953757225433525</v>
      </c>
      <c r="F663" s="243">
        <f>Taules!I261</f>
        <v>0.16040462427745664</v>
      </c>
      <c r="G663" s="243">
        <f>Taules!O261</f>
        <v>0.10404624277456648</v>
      </c>
      <c r="H663" s="243">
        <f>Taules!K261</f>
        <v>8.6705202312138727E-2</v>
      </c>
      <c r="I663" s="243">
        <f>Taules!S261</f>
        <v>8.0924855491329481E-2</v>
      </c>
      <c r="J663" s="243">
        <f>Taules!Q261</f>
        <v>3.7572254335260118E-2</v>
      </c>
      <c r="K663" s="243">
        <f>Taules!W261</f>
        <v>7.0809248554913301E-2</v>
      </c>
      <c r="L663" s="243">
        <f>Taules!AA261</f>
        <v>4.335260115606936E-3</v>
      </c>
      <c r="M663" s="243">
        <f>Taules!M261</f>
        <v>5.4913294797687862E-2</v>
      </c>
      <c r="N663" s="243">
        <f>Taules!U261</f>
        <v>1.7341040462427744E-2</v>
      </c>
      <c r="O663" s="236"/>
      <c r="P663" s="236"/>
      <c r="Q663" s="236"/>
      <c r="R663" s="236"/>
      <c r="S663" s="236"/>
      <c r="T663" s="236"/>
    </row>
    <row r="664" spans="2:20" s="207" customFormat="1" x14ac:dyDescent="0.25">
      <c r="B664" s="236"/>
      <c r="C664" s="236"/>
      <c r="D664" s="285"/>
      <c r="E664" s="285"/>
      <c r="F664" s="285"/>
      <c r="G664" s="236"/>
      <c r="H664" s="236"/>
      <c r="I664" s="236"/>
      <c r="J664" s="236"/>
      <c r="K664" s="236"/>
      <c r="L664" s="236"/>
      <c r="M664" s="236"/>
      <c r="N664" s="236"/>
      <c r="O664" s="236"/>
      <c r="P664" s="236"/>
      <c r="Q664" s="236"/>
      <c r="R664" s="236"/>
      <c r="S664" s="236"/>
      <c r="T664" s="236"/>
    </row>
    <row r="665" spans="2:20" s="207" customFormat="1" x14ac:dyDescent="0.25">
      <c r="B665" s="236"/>
      <c r="C665" s="236"/>
      <c r="D665" s="285"/>
      <c r="E665" s="285"/>
      <c r="F665" s="285"/>
      <c r="G665" s="236"/>
      <c r="H665" s="236"/>
      <c r="I665" s="236"/>
      <c r="J665" s="236"/>
      <c r="K665" s="236"/>
      <c r="L665" s="236"/>
      <c r="M665" s="236"/>
      <c r="N665" s="236"/>
      <c r="O665" s="236"/>
      <c r="P665" s="236"/>
      <c r="Q665" s="236"/>
      <c r="R665" s="236"/>
      <c r="S665" s="236"/>
      <c r="T665" s="236"/>
    </row>
    <row r="666" spans="2:20" s="207" customFormat="1" x14ac:dyDescent="0.25">
      <c r="B666" s="236"/>
      <c r="C666" s="236"/>
      <c r="D666" s="285"/>
      <c r="E666" s="285"/>
      <c r="F666" s="285"/>
      <c r="G666" s="236"/>
      <c r="H666" s="236"/>
      <c r="I666" s="236"/>
      <c r="J666" s="236"/>
      <c r="K666" s="236"/>
      <c r="L666" s="236"/>
      <c r="M666" s="236"/>
      <c r="N666" s="236"/>
      <c r="O666" s="236"/>
      <c r="P666" s="236"/>
      <c r="Q666" s="236"/>
      <c r="R666" s="236"/>
      <c r="S666" s="236"/>
      <c r="T666" s="236"/>
    </row>
    <row r="667" spans="2:20" s="207" customFormat="1" x14ac:dyDescent="0.25">
      <c r="B667" s="236"/>
      <c r="C667" s="236"/>
      <c r="D667" s="285"/>
      <c r="E667" s="285"/>
      <c r="F667" s="285"/>
      <c r="G667" s="236"/>
      <c r="H667" s="236"/>
      <c r="I667" s="236"/>
      <c r="J667" s="236"/>
      <c r="K667" s="236"/>
      <c r="L667" s="236"/>
      <c r="M667" s="236"/>
      <c r="N667" s="236"/>
      <c r="O667" s="236"/>
      <c r="P667" s="236"/>
      <c r="Q667" s="236"/>
      <c r="R667" s="236"/>
      <c r="S667" s="236"/>
      <c r="T667" s="236"/>
    </row>
    <row r="668" spans="2:20" s="207" customFormat="1" x14ac:dyDescent="0.25">
      <c r="B668" s="236"/>
      <c r="C668" s="236"/>
      <c r="D668" s="285"/>
      <c r="E668" s="285"/>
      <c r="F668" s="285"/>
      <c r="G668" s="236"/>
      <c r="H668" s="236"/>
      <c r="I668" s="236"/>
      <c r="J668" s="236"/>
      <c r="K668" s="236"/>
      <c r="L668" s="236"/>
      <c r="M668" s="236"/>
      <c r="N668" s="236"/>
      <c r="O668" s="236"/>
      <c r="P668" s="236"/>
      <c r="Q668" s="236"/>
      <c r="R668" s="236"/>
      <c r="S668" s="236"/>
      <c r="T668" s="236"/>
    </row>
    <row r="669" spans="2:20" s="207" customFormat="1" x14ac:dyDescent="0.25">
      <c r="B669" s="236"/>
      <c r="C669" s="236"/>
      <c r="D669" s="285"/>
      <c r="E669" s="285"/>
      <c r="F669" s="285"/>
      <c r="G669" s="236"/>
      <c r="H669" s="236"/>
      <c r="I669" s="236"/>
      <c r="J669" s="236"/>
      <c r="K669" s="236"/>
      <c r="L669" s="236"/>
      <c r="M669" s="236"/>
      <c r="N669" s="236"/>
      <c r="O669" s="236"/>
      <c r="P669" s="236"/>
      <c r="Q669" s="236"/>
      <c r="R669" s="236"/>
      <c r="S669" s="236"/>
      <c r="T669" s="236"/>
    </row>
    <row r="670" spans="2:20" s="207" customFormat="1" x14ac:dyDescent="0.25">
      <c r="B670" s="236"/>
      <c r="C670" s="236"/>
      <c r="D670" s="285"/>
      <c r="E670" s="285"/>
      <c r="F670" s="285"/>
      <c r="G670" s="236"/>
      <c r="H670" s="236"/>
      <c r="I670" s="236"/>
      <c r="J670" s="236"/>
      <c r="K670" s="236"/>
      <c r="L670" s="236"/>
      <c r="M670" s="236"/>
      <c r="N670" s="236"/>
      <c r="O670" s="236"/>
      <c r="P670" s="236"/>
      <c r="Q670" s="236"/>
      <c r="R670" s="236"/>
      <c r="S670" s="236"/>
      <c r="T670" s="236"/>
    </row>
    <row r="671" spans="2:20" s="207" customFormat="1" x14ac:dyDescent="0.25">
      <c r="B671" s="236"/>
      <c r="C671" s="236"/>
      <c r="D671" s="285"/>
      <c r="E671" s="285"/>
      <c r="F671" s="285"/>
      <c r="G671" s="236"/>
      <c r="H671" s="236"/>
      <c r="I671" s="236"/>
      <c r="J671" s="236"/>
      <c r="K671" s="236"/>
      <c r="L671" s="236"/>
      <c r="M671" s="236"/>
      <c r="N671" s="236"/>
      <c r="O671" s="236"/>
      <c r="P671" s="236"/>
      <c r="Q671" s="236"/>
      <c r="R671" s="236"/>
      <c r="S671" s="236"/>
      <c r="T671" s="236"/>
    </row>
    <row r="672" spans="2:20" s="207" customFormat="1" x14ac:dyDescent="0.25">
      <c r="B672" s="236"/>
      <c r="C672" s="236"/>
      <c r="D672" s="285"/>
      <c r="E672" s="285"/>
      <c r="F672" s="285"/>
      <c r="G672" s="236"/>
      <c r="H672" s="236"/>
      <c r="I672" s="236"/>
      <c r="J672" s="236"/>
      <c r="K672" s="236"/>
      <c r="L672" s="236"/>
      <c r="M672" s="236"/>
      <c r="N672" s="236"/>
      <c r="O672" s="236"/>
      <c r="P672" s="236"/>
      <c r="Q672" s="236"/>
      <c r="R672" s="236"/>
      <c r="S672" s="236"/>
      <c r="T672" s="236"/>
    </row>
    <row r="673" spans="2:20" s="207" customFormat="1" x14ac:dyDescent="0.25">
      <c r="B673" s="236"/>
      <c r="C673" s="236"/>
      <c r="D673" s="285"/>
      <c r="E673" s="285"/>
      <c r="F673" s="285"/>
      <c r="G673" s="236"/>
      <c r="H673" s="236"/>
      <c r="I673" s="236"/>
      <c r="J673" s="236"/>
      <c r="K673" s="236"/>
      <c r="L673" s="236"/>
      <c r="M673" s="236"/>
      <c r="N673" s="236"/>
      <c r="O673" s="236"/>
      <c r="P673" s="236"/>
      <c r="Q673" s="236"/>
      <c r="R673" s="236"/>
      <c r="S673" s="236"/>
      <c r="T673" s="236"/>
    </row>
    <row r="674" spans="2:20" s="207" customFormat="1" x14ac:dyDescent="0.25">
      <c r="B674" s="236"/>
      <c r="C674" s="236"/>
      <c r="D674" s="285"/>
      <c r="E674" s="285"/>
      <c r="F674" s="285"/>
      <c r="G674" s="236"/>
      <c r="H674" s="236"/>
      <c r="I674" s="236"/>
      <c r="J674" s="236"/>
      <c r="K674" s="236"/>
      <c r="L674" s="236"/>
      <c r="M674" s="236"/>
      <c r="N674" s="236"/>
      <c r="O674" s="236"/>
      <c r="P674" s="236"/>
      <c r="Q674" s="236"/>
      <c r="R674" s="236"/>
      <c r="S674" s="236"/>
      <c r="T674" s="236"/>
    </row>
    <row r="675" spans="2:20" s="207" customFormat="1" x14ac:dyDescent="0.25">
      <c r="B675" s="236"/>
      <c r="C675" s="236"/>
      <c r="D675" s="285"/>
      <c r="E675" s="285"/>
      <c r="F675" s="285"/>
      <c r="G675" s="236"/>
      <c r="H675" s="236"/>
      <c r="I675" s="236"/>
      <c r="J675" s="236"/>
      <c r="K675" s="236"/>
      <c r="L675" s="236"/>
      <c r="M675" s="236"/>
      <c r="N675" s="236"/>
      <c r="O675" s="236"/>
      <c r="P675" s="236"/>
      <c r="Q675" s="236"/>
      <c r="R675" s="236"/>
      <c r="S675" s="236"/>
      <c r="T675" s="236"/>
    </row>
    <row r="676" spans="2:20" s="207" customFormat="1" x14ac:dyDescent="0.25">
      <c r="B676" s="236"/>
      <c r="C676" s="236"/>
      <c r="D676" s="285"/>
      <c r="E676" s="285"/>
      <c r="F676" s="285"/>
      <c r="G676" s="236"/>
      <c r="H676" s="236"/>
      <c r="I676" s="236"/>
      <c r="J676" s="236"/>
      <c r="K676" s="236"/>
      <c r="L676" s="236"/>
      <c r="M676" s="236"/>
      <c r="N676" s="236"/>
      <c r="O676" s="236"/>
      <c r="P676" s="236"/>
      <c r="Q676" s="236"/>
      <c r="R676" s="236"/>
      <c r="S676" s="236"/>
      <c r="T676" s="236"/>
    </row>
    <row r="677" spans="2:20" s="207" customFormat="1" x14ac:dyDescent="0.25">
      <c r="B677" s="236"/>
      <c r="C677" s="236"/>
      <c r="D677" s="285"/>
      <c r="E677" s="285"/>
      <c r="F677" s="285"/>
      <c r="G677" s="236"/>
      <c r="H677" s="236"/>
      <c r="I677" s="236"/>
      <c r="J677" s="236"/>
      <c r="K677" s="236"/>
      <c r="L677" s="236"/>
      <c r="M677" s="236"/>
      <c r="N677" s="236"/>
      <c r="O677" s="236"/>
      <c r="P677" s="236"/>
      <c r="Q677" s="236"/>
      <c r="R677" s="236"/>
      <c r="S677" s="236"/>
      <c r="T677" s="236"/>
    </row>
    <row r="678" spans="2:20" s="207" customFormat="1" x14ac:dyDescent="0.25">
      <c r="B678" s="236"/>
      <c r="C678" s="236"/>
      <c r="D678" s="285"/>
      <c r="E678" s="285"/>
      <c r="F678" s="285"/>
      <c r="G678" s="236"/>
      <c r="H678" s="236"/>
      <c r="I678" s="236"/>
      <c r="J678" s="236"/>
      <c r="K678" s="236"/>
      <c r="L678" s="236"/>
      <c r="M678" s="236"/>
      <c r="N678" s="236"/>
      <c r="O678" s="236"/>
      <c r="P678" s="236"/>
      <c r="Q678" s="236"/>
      <c r="R678" s="236"/>
      <c r="S678" s="236"/>
      <c r="T678" s="236"/>
    </row>
    <row r="679" spans="2:20" s="207" customFormat="1" x14ac:dyDescent="0.25">
      <c r="B679" s="236"/>
      <c r="C679" s="236"/>
      <c r="D679" s="285"/>
      <c r="E679" s="285"/>
      <c r="F679" s="285"/>
      <c r="G679" s="236"/>
      <c r="H679" s="236"/>
      <c r="I679" s="236"/>
      <c r="J679" s="236"/>
      <c r="K679" s="236"/>
      <c r="L679" s="236"/>
      <c r="M679" s="236"/>
      <c r="N679" s="236"/>
      <c r="O679" s="236"/>
      <c r="P679" s="236"/>
      <c r="Q679" s="236"/>
      <c r="R679" s="236"/>
      <c r="S679" s="236"/>
      <c r="T679" s="236"/>
    </row>
    <row r="680" spans="2:20" s="207" customFormat="1" x14ac:dyDescent="0.25">
      <c r="B680" s="236"/>
      <c r="C680" s="236"/>
      <c r="D680" s="285"/>
      <c r="E680" s="285"/>
      <c r="F680" s="285"/>
      <c r="G680" s="236"/>
      <c r="H680" s="236"/>
      <c r="I680" s="236"/>
      <c r="J680" s="236"/>
      <c r="K680" s="236"/>
      <c r="L680" s="236"/>
      <c r="M680" s="236"/>
      <c r="N680" s="236"/>
      <c r="O680" s="236"/>
      <c r="P680" s="236"/>
      <c r="Q680" s="236"/>
      <c r="R680" s="236"/>
      <c r="S680" s="236"/>
      <c r="T680" s="236"/>
    </row>
    <row r="681" spans="2:20" s="207" customFormat="1" x14ac:dyDescent="0.25">
      <c r="B681" s="236"/>
      <c r="C681" s="236"/>
      <c r="D681" s="285"/>
      <c r="E681" s="285"/>
      <c r="F681" s="285"/>
      <c r="G681" s="236"/>
      <c r="H681" s="236"/>
      <c r="I681" s="236"/>
      <c r="J681" s="236"/>
      <c r="K681" s="236"/>
      <c r="L681" s="236"/>
      <c r="M681" s="236"/>
      <c r="N681" s="236"/>
      <c r="O681" s="236"/>
      <c r="P681" s="236"/>
      <c r="Q681" s="236"/>
      <c r="R681" s="236"/>
      <c r="S681" s="236"/>
      <c r="T681" s="236"/>
    </row>
    <row r="682" spans="2:20" s="207" customFormat="1" x14ac:dyDescent="0.25">
      <c r="B682" s="236"/>
      <c r="C682" s="236"/>
      <c r="D682" s="285"/>
      <c r="E682" s="285"/>
      <c r="F682" s="285"/>
      <c r="G682" s="236"/>
      <c r="H682" s="236"/>
      <c r="I682" s="236"/>
      <c r="J682" s="236"/>
      <c r="K682" s="236"/>
      <c r="L682" s="236"/>
      <c r="M682" s="236"/>
      <c r="N682" s="236"/>
      <c r="O682" s="236"/>
      <c r="P682" s="236"/>
      <c r="Q682" s="236"/>
      <c r="R682" s="236"/>
      <c r="S682" s="236"/>
      <c r="T682" s="236"/>
    </row>
    <row r="683" spans="2:20" s="207" customFormat="1" x14ac:dyDescent="0.25">
      <c r="B683" s="236"/>
      <c r="C683" s="236"/>
      <c r="D683" s="285"/>
      <c r="E683" s="285"/>
      <c r="F683" s="285"/>
      <c r="G683" s="236"/>
      <c r="H683" s="236"/>
      <c r="I683" s="236"/>
      <c r="J683" s="236"/>
      <c r="K683" s="236"/>
      <c r="L683" s="236"/>
      <c r="M683" s="236"/>
      <c r="N683" s="236"/>
      <c r="O683" s="236"/>
      <c r="P683" s="236"/>
      <c r="Q683" s="236"/>
      <c r="R683" s="236"/>
      <c r="S683" s="236"/>
      <c r="T683" s="236"/>
    </row>
    <row r="684" spans="2:20" s="207" customFormat="1" x14ac:dyDescent="0.25">
      <c r="B684" s="236"/>
      <c r="C684" s="236"/>
      <c r="D684" s="285"/>
      <c r="E684" s="285"/>
      <c r="F684" s="285"/>
      <c r="G684" s="236"/>
      <c r="H684" s="236"/>
      <c r="I684" s="236"/>
      <c r="J684" s="236"/>
      <c r="K684" s="236"/>
      <c r="L684" s="236"/>
      <c r="M684" s="236"/>
      <c r="N684" s="236"/>
      <c r="O684" s="236"/>
      <c r="P684" s="236"/>
      <c r="Q684" s="236"/>
      <c r="R684" s="236"/>
      <c r="S684" s="236"/>
      <c r="T684" s="236"/>
    </row>
    <row r="685" spans="2:20" s="207" customFormat="1" x14ac:dyDescent="0.25">
      <c r="B685" s="236"/>
      <c r="C685" s="236"/>
      <c r="D685" s="285"/>
      <c r="E685" s="285"/>
      <c r="F685" s="285"/>
      <c r="G685" s="236"/>
      <c r="H685" s="236"/>
      <c r="I685" s="236"/>
      <c r="J685" s="236"/>
      <c r="K685" s="236"/>
      <c r="L685" s="236"/>
      <c r="M685" s="236"/>
      <c r="N685" s="236"/>
      <c r="O685" s="236"/>
      <c r="P685" s="236"/>
      <c r="Q685" s="236"/>
      <c r="R685" s="236"/>
      <c r="S685" s="236"/>
      <c r="T685" s="236"/>
    </row>
    <row r="686" spans="2:20" x14ac:dyDescent="0.25">
      <c r="D686" s="218"/>
      <c r="E686" s="218"/>
      <c r="F686" s="218"/>
    </row>
    <row r="687" spans="2:20" x14ac:dyDescent="0.25">
      <c r="D687" s="218"/>
      <c r="E687" s="218"/>
      <c r="F687" s="218"/>
    </row>
    <row r="688" spans="2:20" x14ac:dyDescent="0.25">
      <c r="D688" s="218"/>
      <c r="E688" s="218"/>
      <c r="F688" s="218"/>
    </row>
    <row r="689" spans="2:23" s="1" customFormat="1" ht="18.75" customHeight="1" x14ac:dyDescent="0.25">
      <c r="B689" s="218"/>
      <c r="C689" s="284" t="s">
        <v>272</v>
      </c>
      <c r="D689" s="218"/>
      <c r="E689" s="218"/>
      <c r="F689" s="218"/>
      <c r="G689" s="218"/>
      <c r="H689" s="218"/>
      <c r="I689" s="218"/>
      <c r="J689" s="218"/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</row>
    <row r="690" spans="2:23" s="1" customFormat="1" ht="18.75" customHeight="1" x14ac:dyDescent="0.25"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  <c r="N690" s="218"/>
      <c r="O690" s="218"/>
      <c r="P690" s="218"/>
      <c r="Q690" s="218"/>
      <c r="R690" s="218"/>
      <c r="S690" s="218"/>
      <c r="T690" s="218"/>
    </row>
    <row r="691" spans="2:23" s="1" customFormat="1" ht="18.75" customHeight="1" x14ac:dyDescent="0.25">
      <c r="B691" s="218"/>
      <c r="C691" s="218"/>
      <c r="D691" s="218"/>
      <c r="E691" s="218"/>
      <c r="F691" s="218"/>
      <c r="G691" s="218"/>
      <c r="H691" s="218"/>
      <c r="I691" s="218"/>
      <c r="J691" s="218"/>
      <c r="K691" s="218"/>
      <c r="L691" s="218"/>
      <c r="M691" s="218"/>
      <c r="N691" s="218"/>
      <c r="O691" s="218"/>
      <c r="P691" s="218"/>
      <c r="Q691" s="218"/>
      <c r="R691" s="218"/>
      <c r="S691" s="218"/>
      <c r="T691" s="218"/>
    </row>
    <row r="692" spans="2:23" s="212" customFormat="1" ht="18.75" customHeight="1" x14ac:dyDescent="0.25">
      <c r="B692" s="285"/>
      <c r="C692" s="285"/>
      <c r="D692" s="285"/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  <c r="O692" s="285"/>
      <c r="P692" s="285"/>
      <c r="Q692" s="285"/>
      <c r="R692" s="285"/>
      <c r="S692" s="285"/>
      <c r="T692" s="285"/>
    </row>
    <row r="693" spans="2:23" s="212" customFormat="1" ht="18.75" customHeight="1" x14ac:dyDescent="0.25">
      <c r="B693" s="285"/>
      <c r="C693" s="285"/>
      <c r="D693" s="285"/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  <c r="O693" s="285"/>
      <c r="P693" s="285"/>
      <c r="Q693" s="285"/>
      <c r="R693" s="285"/>
      <c r="S693" s="285"/>
      <c r="T693" s="285"/>
    </row>
    <row r="694" spans="2:23" s="210" customFormat="1" ht="33" customHeight="1" x14ac:dyDescent="0.25">
      <c r="B694" s="287"/>
      <c r="C694" s="285"/>
      <c r="D694" s="271" t="str">
        <f>Taules!D269</f>
        <v>Mancances formació
universitària rebuda</v>
      </c>
      <c r="E694" s="271" t="str">
        <f>Taules!H269</f>
        <v>Activitats personals
impedeixen treballar</v>
      </c>
      <c r="F694" s="271" t="s">
        <v>173</v>
      </c>
      <c r="G694" s="271" t="s">
        <v>174</v>
      </c>
      <c r="H694" s="271" t="s">
        <v>175</v>
      </c>
      <c r="I694" s="271" t="s">
        <v>176</v>
      </c>
      <c r="J694" s="271" t="s">
        <v>177</v>
      </c>
      <c r="K694" s="271" t="s">
        <v>178</v>
      </c>
      <c r="L694" s="271" t="s">
        <v>179</v>
      </c>
      <c r="M694" s="287"/>
      <c r="N694" s="287"/>
      <c r="O694" s="287"/>
      <c r="P694" s="287"/>
      <c r="Q694" s="287"/>
      <c r="R694" s="287"/>
      <c r="S694" s="287"/>
      <c r="T694" s="287"/>
    </row>
    <row r="695" spans="2:23" s="212" customFormat="1" ht="18.75" customHeight="1" x14ac:dyDescent="0.25">
      <c r="B695" s="285"/>
      <c r="C695" s="248" t="str">
        <f>Taules!C271</f>
        <v>TOTAL UPC</v>
      </c>
      <c r="D695" s="288">
        <f>Taules!F271</f>
        <v>3.2105263157894739</v>
      </c>
      <c r="E695" s="288">
        <f>Taules!J271</f>
        <v>2.7581699346405228</v>
      </c>
      <c r="F695" s="288">
        <f>Taules!N271</f>
        <v>4.3071895424836599</v>
      </c>
      <c r="G695" s="288">
        <f>Taules!R271</f>
        <v>4.5723684210526319</v>
      </c>
      <c r="H695" s="288">
        <f>Taules!V271</f>
        <v>3.4934210526315788</v>
      </c>
      <c r="I695" s="288">
        <f>Taules!F278</f>
        <v>4.6209150326797381</v>
      </c>
      <c r="J695" s="288">
        <f>Taules!J278</f>
        <v>4.0457516339869279</v>
      </c>
      <c r="K695" s="288">
        <f>Taules!N278</f>
        <v>3.3725490196078431</v>
      </c>
      <c r="L695" s="289">
        <f>Taules!R278</f>
        <v>3.4313725490196076</v>
      </c>
      <c r="M695" s="285"/>
      <c r="N695" s="285"/>
      <c r="O695" s="285"/>
      <c r="P695" s="285"/>
      <c r="Q695" s="285"/>
      <c r="R695" s="285"/>
      <c r="S695" s="285"/>
      <c r="T695" s="285"/>
    </row>
    <row r="696" spans="2:23" s="210" customFormat="1" ht="15.75" customHeight="1" x14ac:dyDescent="0.25">
      <c r="B696" s="287"/>
      <c r="C696" s="274"/>
      <c r="D696" s="290"/>
      <c r="E696" s="290"/>
      <c r="F696" s="290"/>
      <c r="G696" s="290"/>
      <c r="H696" s="290"/>
      <c r="I696" s="290"/>
      <c r="J696" s="290"/>
      <c r="K696" s="290"/>
      <c r="L696" s="290"/>
      <c r="M696" s="287"/>
      <c r="N696" s="287"/>
      <c r="O696" s="287"/>
      <c r="P696" s="287"/>
      <c r="Q696" s="287"/>
      <c r="R696" s="287"/>
      <c r="S696" s="287"/>
      <c r="T696" s="287"/>
      <c r="W696" s="211"/>
    </row>
    <row r="697" spans="2:23" s="212" customFormat="1" ht="18.75" customHeight="1" x14ac:dyDescent="0.25">
      <c r="B697" s="285"/>
      <c r="C697" s="285"/>
      <c r="D697" s="285"/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  <c r="O697" s="285"/>
      <c r="P697" s="285"/>
      <c r="Q697" s="285"/>
      <c r="R697" s="285"/>
      <c r="S697" s="285"/>
      <c r="T697" s="285"/>
    </row>
    <row r="698" spans="2:23" s="212" customFormat="1" ht="18.75" customHeight="1" x14ac:dyDescent="0.25">
      <c r="B698" s="285"/>
      <c r="C698" s="285"/>
      <c r="D698" s="285"/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5"/>
      <c r="P698" s="285"/>
      <c r="Q698" s="285"/>
      <c r="R698" s="285"/>
      <c r="S698" s="285"/>
      <c r="T698" s="285"/>
    </row>
    <row r="699" spans="2:23" s="212" customFormat="1" ht="18.75" customHeight="1" x14ac:dyDescent="0.25">
      <c r="B699" s="285"/>
      <c r="C699" s="285"/>
      <c r="D699" s="285"/>
      <c r="E699" s="285"/>
      <c r="F699" s="285"/>
      <c r="G699" s="285"/>
      <c r="H699" s="285"/>
      <c r="I699" s="285"/>
      <c r="J699" s="285"/>
      <c r="K699" s="285"/>
      <c r="L699" s="285"/>
      <c r="M699" s="285"/>
      <c r="N699" s="285"/>
      <c r="O699" s="285"/>
      <c r="P699" s="285"/>
      <c r="Q699" s="285"/>
      <c r="R699" s="285"/>
      <c r="S699" s="285"/>
      <c r="T699" s="285"/>
    </row>
    <row r="700" spans="2:23" s="212" customFormat="1" ht="18.75" customHeight="1" x14ac:dyDescent="0.25">
      <c r="B700" s="285"/>
      <c r="C700" s="285"/>
      <c r="D700" s="285"/>
      <c r="E700" s="285"/>
      <c r="F700" s="285"/>
      <c r="G700" s="285"/>
      <c r="H700" s="285"/>
      <c r="I700" s="285"/>
      <c r="J700" s="285"/>
      <c r="K700" s="285"/>
      <c r="L700" s="285"/>
      <c r="M700" s="285"/>
      <c r="N700" s="285"/>
      <c r="O700" s="285"/>
      <c r="P700" s="285"/>
      <c r="Q700" s="285"/>
      <c r="R700" s="285"/>
      <c r="S700" s="285"/>
      <c r="T700" s="285"/>
    </row>
    <row r="701" spans="2:23" s="212" customFormat="1" ht="18.75" customHeight="1" x14ac:dyDescent="0.25">
      <c r="B701" s="285"/>
      <c r="C701" s="285"/>
      <c r="D701" s="285"/>
      <c r="E701" s="285"/>
      <c r="F701" s="285"/>
      <c r="G701" s="285"/>
      <c r="H701" s="285"/>
      <c r="I701" s="285"/>
      <c r="J701" s="285"/>
      <c r="K701" s="285"/>
      <c r="L701" s="285"/>
      <c r="M701" s="285"/>
      <c r="N701" s="285"/>
      <c r="O701" s="285"/>
      <c r="P701" s="285"/>
      <c r="Q701" s="285"/>
      <c r="R701" s="285"/>
      <c r="S701" s="285"/>
      <c r="T701" s="285"/>
    </row>
    <row r="702" spans="2:23" s="212" customFormat="1" ht="18.75" customHeight="1" x14ac:dyDescent="0.25">
      <c r="B702" s="285"/>
      <c r="C702" s="285"/>
      <c r="D702" s="285"/>
      <c r="E702" s="285"/>
      <c r="F702" s="285"/>
      <c r="G702" s="285"/>
      <c r="H702" s="285"/>
      <c r="I702" s="285"/>
      <c r="J702" s="285"/>
      <c r="K702" s="285"/>
      <c r="L702" s="285"/>
      <c r="M702" s="285"/>
      <c r="N702" s="285"/>
      <c r="O702" s="285"/>
      <c r="P702" s="285"/>
      <c r="Q702" s="285"/>
      <c r="R702" s="285"/>
      <c r="S702" s="285"/>
      <c r="T702" s="285"/>
    </row>
    <row r="703" spans="2:23" s="212" customFormat="1" ht="33" customHeight="1" x14ac:dyDescent="0.25">
      <c r="B703" s="285"/>
      <c r="C703" s="285"/>
      <c r="D703" s="285"/>
      <c r="E703" s="285"/>
      <c r="F703" s="285"/>
      <c r="G703" s="285"/>
      <c r="H703" s="285"/>
      <c r="I703" s="285"/>
      <c r="J703" s="285"/>
      <c r="K703" s="285"/>
      <c r="L703" s="285"/>
      <c r="M703" s="285"/>
      <c r="N703" s="285"/>
      <c r="O703" s="285"/>
      <c r="P703" s="285"/>
      <c r="Q703" s="285"/>
      <c r="R703" s="285"/>
      <c r="S703" s="285"/>
      <c r="T703" s="285"/>
    </row>
    <row r="704" spans="2:23" s="212" customFormat="1" ht="18.75" customHeight="1" x14ac:dyDescent="0.25">
      <c r="B704" s="285"/>
      <c r="C704" s="285"/>
      <c r="D704" s="285"/>
      <c r="E704" s="285"/>
      <c r="F704" s="285"/>
      <c r="G704" s="285"/>
      <c r="H704" s="285"/>
      <c r="I704" s="285"/>
      <c r="J704" s="285"/>
      <c r="K704" s="285"/>
      <c r="L704" s="285"/>
      <c r="M704" s="285"/>
      <c r="N704" s="285"/>
      <c r="O704" s="285"/>
      <c r="P704" s="285"/>
      <c r="Q704" s="285"/>
      <c r="R704" s="285"/>
      <c r="S704" s="285"/>
      <c r="T704" s="285"/>
    </row>
    <row r="705" spans="2:20" s="207" customFormat="1" x14ac:dyDescent="0.25">
      <c r="B705" s="236"/>
      <c r="C705" s="236"/>
      <c r="D705" s="285"/>
      <c r="E705" s="285"/>
      <c r="F705" s="285"/>
      <c r="G705" s="236"/>
      <c r="H705" s="236"/>
      <c r="I705" s="236"/>
      <c r="J705" s="236"/>
      <c r="K705" s="236"/>
      <c r="L705" s="236"/>
      <c r="M705" s="236"/>
      <c r="N705" s="236"/>
      <c r="O705" s="236"/>
      <c r="P705" s="236"/>
      <c r="Q705" s="236"/>
      <c r="R705" s="236"/>
      <c r="S705" s="236"/>
      <c r="T705" s="236"/>
    </row>
    <row r="706" spans="2:20" s="207" customFormat="1" x14ac:dyDescent="0.25">
      <c r="B706" s="236"/>
      <c r="C706" s="236"/>
      <c r="D706" s="285"/>
      <c r="E706" s="285"/>
      <c r="F706" s="285"/>
      <c r="G706" s="236"/>
      <c r="H706" s="236"/>
      <c r="I706" s="236"/>
      <c r="J706" s="236"/>
      <c r="K706" s="236"/>
      <c r="L706" s="236"/>
      <c r="M706" s="236"/>
      <c r="N706" s="236"/>
      <c r="O706" s="236"/>
      <c r="P706" s="236"/>
      <c r="Q706" s="236"/>
      <c r="R706" s="236"/>
      <c r="S706" s="236"/>
      <c r="T706" s="236"/>
    </row>
    <row r="707" spans="2:20" s="207" customFormat="1" x14ac:dyDescent="0.25">
      <c r="B707" s="236"/>
      <c r="C707" s="236"/>
      <c r="D707" s="285"/>
      <c r="E707" s="285"/>
      <c r="F707" s="285"/>
      <c r="G707" s="236"/>
      <c r="H707" s="236"/>
      <c r="I707" s="236"/>
      <c r="J707" s="236"/>
      <c r="K707" s="236"/>
      <c r="L707" s="236"/>
      <c r="M707" s="236"/>
      <c r="N707" s="236"/>
      <c r="O707" s="236"/>
      <c r="P707" s="236"/>
      <c r="Q707" s="236"/>
      <c r="R707" s="236"/>
      <c r="S707" s="236"/>
      <c r="T707" s="236"/>
    </row>
    <row r="708" spans="2:20" s="207" customFormat="1" x14ac:dyDescent="0.25">
      <c r="B708" s="236"/>
      <c r="C708" s="236"/>
      <c r="D708" s="285"/>
      <c r="E708" s="285"/>
      <c r="F708" s="285"/>
      <c r="G708" s="236"/>
      <c r="H708" s="236"/>
      <c r="I708" s="236"/>
      <c r="J708" s="236"/>
      <c r="K708" s="236"/>
      <c r="L708" s="236"/>
      <c r="M708" s="236"/>
      <c r="N708" s="236"/>
      <c r="O708" s="236"/>
      <c r="P708" s="236"/>
      <c r="Q708" s="236"/>
      <c r="R708" s="236"/>
      <c r="S708" s="236"/>
      <c r="T708" s="236"/>
    </row>
    <row r="709" spans="2:20" s="207" customFormat="1" x14ac:dyDescent="0.25">
      <c r="B709" s="236"/>
      <c r="C709" s="236"/>
      <c r="D709" s="285"/>
      <c r="E709" s="285"/>
      <c r="F709" s="285"/>
      <c r="G709" s="236"/>
      <c r="H709" s="236"/>
      <c r="I709" s="236"/>
      <c r="J709" s="236"/>
      <c r="K709" s="236"/>
      <c r="L709" s="236"/>
      <c r="M709" s="236"/>
      <c r="N709" s="236"/>
      <c r="O709" s="236"/>
      <c r="P709" s="236"/>
      <c r="Q709" s="236"/>
      <c r="R709" s="236"/>
      <c r="S709" s="236"/>
      <c r="T709" s="236"/>
    </row>
    <row r="710" spans="2:20" s="207" customFormat="1" x14ac:dyDescent="0.25">
      <c r="B710" s="236"/>
      <c r="C710" s="236"/>
      <c r="D710" s="285"/>
      <c r="E710" s="285"/>
      <c r="F710" s="285"/>
      <c r="G710" s="236"/>
      <c r="H710" s="236"/>
      <c r="I710" s="236"/>
      <c r="J710" s="236"/>
      <c r="K710" s="236"/>
      <c r="L710" s="236"/>
      <c r="M710" s="236"/>
      <c r="N710" s="236"/>
      <c r="O710" s="236"/>
      <c r="P710" s="236"/>
      <c r="Q710" s="236"/>
      <c r="R710" s="236"/>
      <c r="S710" s="236"/>
      <c r="T710" s="236"/>
    </row>
    <row r="711" spans="2:20" x14ac:dyDescent="0.25">
      <c r="D711" s="218"/>
      <c r="E711" s="218"/>
      <c r="F711" s="218"/>
    </row>
    <row r="712" spans="2:20" x14ac:dyDescent="0.25">
      <c r="D712" s="218"/>
      <c r="E712" s="218"/>
      <c r="F712" s="218"/>
    </row>
    <row r="713" spans="2:20" x14ac:dyDescent="0.25">
      <c r="D713" s="218"/>
      <c r="E713" s="218"/>
      <c r="F713" s="218"/>
    </row>
    <row r="714" spans="2:20" x14ac:dyDescent="0.25">
      <c r="D714" s="218"/>
      <c r="E714" s="218"/>
      <c r="F714" s="218"/>
    </row>
    <row r="715" spans="2:20" x14ac:dyDescent="0.25">
      <c r="D715" s="218"/>
      <c r="E715" s="218"/>
      <c r="F715" s="218"/>
    </row>
    <row r="716" spans="2:20" x14ac:dyDescent="0.25">
      <c r="D716" s="218"/>
      <c r="E716" s="218"/>
      <c r="F716" s="218"/>
    </row>
    <row r="717" spans="2:20" ht="23.25" x14ac:dyDescent="0.35">
      <c r="C717" s="253" t="s">
        <v>348</v>
      </c>
      <c r="E717" s="234" t="s">
        <v>313</v>
      </c>
      <c r="H717" s="291"/>
    </row>
    <row r="718" spans="2:20" x14ac:dyDescent="0.25">
      <c r="H718" s="291"/>
    </row>
    <row r="719" spans="2:20" s="207" customFormat="1" ht="26.25" x14ac:dyDescent="0.25">
      <c r="B719" s="236"/>
      <c r="C719" s="236"/>
      <c r="D719" s="292"/>
      <c r="E719" s="236"/>
      <c r="F719" s="236"/>
      <c r="G719" s="236"/>
      <c r="H719" s="269"/>
      <c r="I719" s="236"/>
      <c r="J719" s="236"/>
      <c r="K719" s="236"/>
      <c r="L719" s="236"/>
      <c r="M719" s="236"/>
      <c r="N719" s="236"/>
      <c r="O719" s="236"/>
      <c r="P719" s="236"/>
      <c r="Q719" s="236"/>
      <c r="R719" s="236"/>
      <c r="S719" s="236"/>
      <c r="T719" s="236"/>
    </row>
    <row r="720" spans="2:20" s="207" customFormat="1" ht="15" customHeight="1" x14ac:dyDescent="0.25">
      <c r="B720" s="236"/>
      <c r="C720" s="270"/>
      <c r="D720" s="271"/>
      <c r="E720" s="379" t="s">
        <v>152</v>
      </c>
      <c r="F720" s="379"/>
      <c r="G720" s="379"/>
      <c r="H720" s="379"/>
      <c r="I720" s="379"/>
      <c r="J720" s="379"/>
      <c r="K720" s="379"/>
      <c r="L720" s="379"/>
      <c r="M720" s="236"/>
      <c r="N720" s="236"/>
      <c r="O720" s="236"/>
      <c r="P720" s="236"/>
      <c r="Q720" s="236"/>
      <c r="R720" s="236"/>
      <c r="S720" s="236"/>
      <c r="T720" s="236"/>
    </row>
    <row r="721" spans="2:20" s="207" customFormat="1" ht="15" customHeight="1" x14ac:dyDescent="0.25">
      <c r="B721" s="236"/>
      <c r="C721" s="270"/>
      <c r="D721" s="379" t="s">
        <v>2</v>
      </c>
      <c r="E721" s="379" t="s">
        <v>156</v>
      </c>
      <c r="F721" s="379"/>
      <c r="G721" s="379" t="s">
        <v>157</v>
      </c>
      <c r="H721" s="379"/>
      <c r="I721" s="378" t="s">
        <v>40</v>
      </c>
      <c r="J721" s="378"/>
      <c r="K721" s="378" t="s">
        <v>195</v>
      </c>
      <c r="L721" s="378"/>
      <c r="M721" s="236"/>
      <c r="N721" s="236"/>
      <c r="O721" s="236"/>
      <c r="P721" s="236"/>
      <c r="Q721" s="236"/>
      <c r="R721" s="236"/>
      <c r="S721" s="236"/>
      <c r="T721" s="236"/>
    </row>
    <row r="722" spans="2:20" s="207" customFormat="1" ht="25.5" x14ac:dyDescent="0.25">
      <c r="B722" s="236"/>
      <c r="C722" s="270"/>
      <c r="D722" s="379"/>
      <c r="E722" s="267" t="s">
        <v>2</v>
      </c>
      <c r="F722" s="258" t="s">
        <v>158</v>
      </c>
      <c r="G722" s="267" t="s">
        <v>2</v>
      </c>
      <c r="H722" s="258" t="s">
        <v>159</v>
      </c>
      <c r="I722" s="267" t="s">
        <v>2</v>
      </c>
      <c r="J722" s="258" t="s">
        <v>159</v>
      </c>
      <c r="K722" s="267" t="s">
        <v>2</v>
      </c>
      <c r="L722" s="258" t="s">
        <v>160</v>
      </c>
      <c r="M722" s="236"/>
      <c r="N722" s="236"/>
      <c r="O722" s="236"/>
      <c r="P722" s="236"/>
      <c r="Q722" s="236"/>
      <c r="R722" s="236"/>
      <c r="S722" s="236"/>
      <c r="T722" s="236"/>
    </row>
    <row r="723" spans="2:20" s="207" customFormat="1" x14ac:dyDescent="0.25">
      <c r="B723" s="236"/>
      <c r="C723" s="248" t="str">
        <f>Taules!C288</f>
        <v>TOTAL UPC</v>
      </c>
      <c r="D723" s="248">
        <f>Taules!D288</f>
        <v>66</v>
      </c>
      <c r="E723" s="248">
        <f>Taules!E288</f>
        <v>41</v>
      </c>
      <c r="F723" s="248">
        <f>Taules!F288</f>
        <v>0.62121212121212122</v>
      </c>
      <c r="G723" s="248">
        <f>Taules!G288</f>
        <v>5</v>
      </c>
      <c r="H723" s="248">
        <f>Taules!H288</f>
        <v>7.575757575757576E-2</v>
      </c>
      <c r="I723" s="248">
        <f>Taules!I288</f>
        <v>19</v>
      </c>
      <c r="J723" s="248">
        <f>Taules!J288</f>
        <v>0.2878787878787879</v>
      </c>
      <c r="K723" s="248">
        <f>Taules!K288</f>
        <v>1</v>
      </c>
      <c r="L723" s="248">
        <f>Taules!L288</f>
        <v>1.5151515151515152E-2</v>
      </c>
      <c r="M723" s="236"/>
      <c r="N723" s="236"/>
      <c r="O723" s="236"/>
      <c r="P723" s="236"/>
      <c r="Q723" s="236"/>
      <c r="R723" s="236"/>
      <c r="S723" s="236"/>
      <c r="T723" s="236"/>
    </row>
    <row r="724" spans="2:20" s="207" customFormat="1" x14ac:dyDescent="0.25">
      <c r="B724" s="236"/>
      <c r="C724" s="236"/>
      <c r="D724" s="236"/>
      <c r="E724" s="269"/>
      <c r="F724" s="269"/>
      <c r="G724" s="269"/>
      <c r="H724" s="236"/>
      <c r="I724" s="236"/>
      <c r="J724" s="236"/>
      <c r="K724" s="236"/>
      <c r="L724" s="236"/>
      <c r="M724" s="236"/>
      <c r="N724" s="236"/>
      <c r="O724" s="236"/>
      <c r="P724" s="236"/>
      <c r="Q724" s="236"/>
      <c r="R724" s="236"/>
      <c r="S724" s="236"/>
      <c r="T724" s="236"/>
    </row>
    <row r="725" spans="2:20" s="207" customFormat="1" x14ac:dyDescent="0.25">
      <c r="B725" s="236"/>
      <c r="C725" s="236"/>
      <c r="D725" s="236"/>
      <c r="E725" s="269"/>
      <c r="F725" s="269"/>
      <c r="G725" s="236"/>
      <c r="H725" s="236"/>
      <c r="I725" s="236"/>
      <c r="J725" s="236"/>
      <c r="K725" s="236"/>
      <c r="L725" s="236"/>
      <c r="M725" s="236"/>
      <c r="N725" s="236"/>
      <c r="O725" s="236"/>
      <c r="P725" s="236"/>
      <c r="Q725" s="236"/>
      <c r="R725" s="236"/>
      <c r="S725" s="236"/>
      <c r="T725" s="236"/>
    </row>
    <row r="726" spans="2:20" s="207" customFormat="1" x14ac:dyDescent="0.25">
      <c r="B726" s="236"/>
      <c r="C726" s="236"/>
      <c r="D726" s="236"/>
      <c r="E726" s="269"/>
      <c r="F726" s="269"/>
      <c r="G726" s="236"/>
      <c r="H726" s="236"/>
      <c r="I726" s="236"/>
      <c r="J726" s="236"/>
      <c r="K726" s="236"/>
      <c r="L726" s="236"/>
      <c r="M726" s="236"/>
      <c r="N726" s="236"/>
      <c r="O726" s="236"/>
      <c r="P726" s="236"/>
      <c r="Q726" s="236"/>
      <c r="R726" s="236"/>
      <c r="S726" s="236"/>
      <c r="T726" s="236"/>
    </row>
    <row r="742" spans="1:20" x14ac:dyDescent="0.25">
      <c r="H742" s="218"/>
      <c r="I742" s="218"/>
    </row>
    <row r="746" spans="1:20" ht="32.25" thickBot="1" x14ac:dyDescent="0.55000000000000004">
      <c r="B746" s="224" t="s">
        <v>219</v>
      </c>
      <c r="C746" s="225"/>
      <c r="D746" s="226"/>
      <c r="E746" s="226"/>
      <c r="F746" s="227"/>
      <c r="G746" s="228"/>
      <c r="H746" s="227"/>
      <c r="I746" s="228"/>
      <c r="J746" s="227"/>
      <c r="K746" s="227"/>
      <c r="L746" s="227"/>
      <c r="M746" s="227"/>
      <c r="N746" s="227"/>
      <c r="O746" s="227"/>
      <c r="P746" s="227"/>
      <c r="Q746" s="228"/>
      <c r="R746" s="228"/>
      <c r="S746" s="228"/>
    </row>
    <row r="747" spans="1:20" s="1" customFormat="1" ht="18.75" customHeight="1" x14ac:dyDescent="0.25">
      <c r="A747" s="10"/>
      <c r="B747" s="218"/>
      <c r="C747" s="283" t="s">
        <v>263</v>
      </c>
      <c r="D747" s="234"/>
      <c r="E747" s="234"/>
      <c r="F747" s="234"/>
      <c r="G747" s="218"/>
      <c r="H747" s="234"/>
      <c r="I747" s="234"/>
      <c r="J747" s="220"/>
      <c r="K747" s="220"/>
      <c r="L747" s="220"/>
      <c r="M747" s="220"/>
      <c r="N747" s="220"/>
      <c r="O747" s="220"/>
      <c r="P747" s="220"/>
      <c r="Q747" s="220"/>
      <c r="R747" s="220"/>
      <c r="S747" s="218"/>
      <c r="T747" s="220"/>
    </row>
    <row r="749" spans="1:20" x14ac:dyDescent="0.25">
      <c r="D749" s="218"/>
      <c r="E749" s="218"/>
      <c r="F749" s="218"/>
    </row>
    <row r="750" spans="1:20" ht="21" x14ac:dyDescent="0.25">
      <c r="C750" s="235" t="s">
        <v>269</v>
      </c>
    </row>
    <row r="751" spans="1:20" x14ac:dyDescent="0.25">
      <c r="S751" s="229"/>
      <c r="T751" s="234"/>
    </row>
    <row r="752" spans="1:20" x14ac:dyDescent="0.25">
      <c r="S752" s="229"/>
      <c r="T752" s="234"/>
    </row>
    <row r="753" spans="2:20" s="207" customFormat="1" x14ac:dyDescent="0.25">
      <c r="B753" s="236"/>
      <c r="C753" s="236"/>
      <c r="D753" s="236"/>
      <c r="E753" s="236"/>
      <c r="F753" s="236"/>
      <c r="G753" s="236"/>
      <c r="H753" s="236"/>
      <c r="I753" s="236"/>
      <c r="J753" s="236"/>
      <c r="K753" s="236"/>
      <c r="L753" s="236"/>
      <c r="M753" s="236"/>
      <c r="N753" s="236"/>
      <c r="O753" s="236"/>
      <c r="P753" s="236"/>
      <c r="Q753" s="236"/>
      <c r="R753" s="236"/>
      <c r="S753" s="236"/>
      <c r="T753" s="236"/>
    </row>
    <row r="754" spans="2:20" s="207" customFormat="1" ht="15" customHeight="1" x14ac:dyDescent="0.25">
      <c r="B754" s="236"/>
      <c r="C754" s="271"/>
      <c r="D754" s="271" t="s">
        <v>180</v>
      </c>
      <c r="E754" s="271" t="s">
        <v>181</v>
      </c>
      <c r="F754" s="269"/>
      <c r="G754" s="269"/>
      <c r="H754" s="236"/>
      <c r="I754" s="236"/>
      <c r="J754" s="236"/>
      <c r="K754" s="236"/>
      <c r="L754" s="236"/>
      <c r="M754" s="236"/>
      <c r="N754" s="236"/>
      <c r="O754" s="236"/>
      <c r="P754" s="236"/>
      <c r="Q754" s="236"/>
      <c r="R754" s="236"/>
      <c r="S754" s="236"/>
      <c r="T754" s="236"/>
    </row>
    <row r="755" spans="2:20" s="207" customFormat="1" ht="25.5" customHeight="1" x14ac:dyDescent="0.25">
      <c r="B755" s="236"/>
      <c r="C755" s="270" t="s">
        <v>21</v>
      </c>
      <c r="D755" s="243">
        <f>Taules!F301</f>
        <v>0.31210191082802546</v>
      </c>
      <c r="E755" s="243">
        <f>Taules!J301</f>
        <v>0.1136890951276102</v>
      </c>
      <c r="F755" s="236"/>
      <c r="G755" s="236"/>
      <c r="H755" s="236"/>
      <c r="I755" s="236"/>
      <c r="J755" s="236"/>
      <c r="K755" s="236"/>
      <c r="L755" s="236"/>
      <c r="M755" s="236"/>
      <c r="N755" s="236"/>
      <c r="O755" s="236"/>
      <c r="P755" s="236"/>
      <c r="Q755" s="236"/>
      <c r="R755" s="236"/>
      <c r="S755" s="236"/>
      <c r="T755" s="236"/>
    </row>
    <row r="756" spans="2:20" s="207" customFormat="1" x14ac:dyDescent="0.25">
      <c r="B756" s="236"/>
      <c r="C756" s="270" t="s">
        <v>184</v>
      </c>
      <c r="D756" s="243">
        <f>Taules!G301</f>
        <v>0.68789808917197448</v>
      </c>
      <c r="E756" s="243">
        <f>Taules!K301</f>
        <v>0.88631090487238984</v>
      </c>
      <c r="F756" s="236"/>
      <c r="G756" s="236"/>
      <c r="H756" s="236"/>
      <c r="I756" s="236"/>
      <c r="J756" s="236"/>
      <c r="K756" s="236"/>
      <c r="L756" s="236"/>
      <c r="M756" s="236"/>
      <c r="N756" s="236"/>
      <c r="O756" s="236"/>
      <c r="P756" s="236"/>
      <c r="Q756" s="236"/>
      <c r="R756" s="236"/>
      <c r="S756" s="236"/>
      <c r="T756" s="236"/>
    </row>
    <row r="757" spans="2:20" s="207" customFormat="1" ht="38.25" customHeight="1" x14ac:dyDescent="0.25">
      <c r="B757" s="236"/>
      <c r="C757" s="236"/>
      <c r="D757" s="236"/>
      <c r="E757" s="236"/>
      <c r="F757" s="236"/>
      <c r="G757" s="236"/>
      <c r="H757" s="236"/>
      <c r="I757" s="236"/>
      <c r="J757" s="236"/>
      <c r="K757" s="236"/>
      <c r="L757" s="236"/>
      <c r="M757" s="236"/>
      <c r="N757" s="236"/>
      <c r="O757" s="236"/>
      <c r="P757" s="236"/>
      <c r="Q757" s="236"/>
      <c r="R757" s="236"/>
      <c r="S757" s="236"/>
      <c r="T757" s="236"/>
    </row>
    <row r="758" spans="2:20" s="207" customFormat="1" x14ac:dyDescent="0.25">
      <c r="B758" s="236"/>
      <c r="C758" s="236"/>
      <c r="D758" s="236"/>
      <c r="E758" s="236"/>
      <c r="F758" s="236"/>
      <c r="G758" s="236"/>
      <c r="H758" s="236"/>
      <c r="I758" s="236"/>
      <c r="J758" s="236"/>
      <c r="K758" s="236"/>
      <c r="L758" s="236"/>
      <c r="M758" s="236"/>
      <c r="N758" s="236"/>
      <c r="O758" s="236"/>
      <c r="P758" s="236"/>
      <c r="Q758" s="236"/>
      <c r="R758" s="236"/>
      <c r="S758" s="236"/>
      <c r="T758" s="236"/>
    </row>
    <row r="759" spans="2:20" s="207" customFormat="1" x14ac:dyDescent="0.25">
      <c r="B759" s="236"/>
      <c r="C759" s="236"/>
      <c r="D759" s="236"/>
      <c r="E759" s="236"/>
      <c r="F759" s="236"/>
      <c r="G759" s="236"/>
      <c r="H759" s="236"/>
      <c r="I759" s="236"/>
      <c r="J759" s="236"/>
      <c r="K759" s="236"/>
      <c r="L759" s="236"/>
      <c r="M759" s="236"/>
      <c r="N759" s="236"/>
      <c r="O759" s="236"/>
      <c r="P759" s="236"/>
      <c r="Q759" s="236"/>
      <c r="R759" s="236"/>
      <c r="S759" s="236"/>
      <c r="T759" s="236"/>
    </row>
    <row r="760" spans="2:20" s="207" customFormat="1" x14ac:dyDescent="0.25">
      <c r="B760" s="236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236"/>
      <c r="P760" s="236"/>
      <c r="Q760" s="236"/>
      <c r="R760" s="236"/>
      <c r="S760" s="236"/>
      <c r="T760" s="236"/>
    </row>
    <row r="761" spans="2:20" s="207" customFormat="1" x14ac:dyDescent="0.25">
      <c r="B761" s="236"/>
      <c r="C761" s="236"/>
      <c r="D761" s="236"/>
      <c r="E761" s="236"/>
      <c r="F761" s="236"/>
      <c r="G761" s="236"/>
      <c r="H761" s="236"/>
      <c r="I761" s="236"/>
      <c r="J761" s="236"/>
      <c r="K761" s="236"/>
      <c r="L761" s="236"/>
      <c r="M761" s="236"/>
      <c r="N761" s="236"/>
      <c r="O761" s="236"/>
      <c r="P761" s="236"/>
      <c r="Q761" s="236"/>
      <c r="R761" s="236"/>
      <c r="S761" s="236"/>
      <c r="T761" s="236"/>
    </row>
    <row r="762" spans="2:20" s="207" customFormat="1" x14ac:dyDescent="0.25">
      <c r="B762" s="236"/>
      <c r="C762" s="236"/>
      <c r="D762" s="236"/>
      <c r="E762" s="236"/>
      <c r="F762" s="236"/>
      <c r="G762" s="236"/>
      <c r="H762" s="236"/>
      <c r="I762" s="236"/>
      <c r="J762" s="236"/>
      <c r="K762" s="236"/>
      <c r="L762" s="236"/>
      <c r="M762" s="236"/>
      <c r="N762" s="236"/>
      <c r="O762" s="236"/>
      <c r="P762" s="236"/>
      <c r="Q762" s="236"/>
      <c r="R762" s="236"/>
      <c r="S762" s="236"/>
      <c r="T762" s="236"/>
    </row>
    <row r="763" spans="2:20" s="207" customFormat="1" x14ac:dyDescent="0.25">
      <c r="B763" s="236"/>
      <c r="C763" s="236"/>
      <c r="D763" s="236"/>
      <c r="E763" s="236"/>
      <c r="F763" s="236"/>
      <c r="G763" s="236"/>
      <c r="H763" s="236"/>
      <c r="I763" s="236"/>
      <c r="J763" s="236"/>
      <c r="K763" s="236"/>
      <c r="L763" s="236"/>
      <c r="M763" s="236"/>
      <c r="N763" s="236"/>
      <c r="O763" s="236"/>
      <c r="P763" s="236"/>
      <c r="Q763" s="236"/>
      <c r="R763" s="236"/>
      <c r="S763" s="236"/>
      <c r="T763" s="236"/>
    </row>
    <row r="764" spans="2:20" s="207" customFormat="1" x14ac:dyDescent="0.25">
      <c r="B764" s="236"/>
      <c r="C764" s="236"/>
      <c r="D764" s="236"/>
      <c r="E764" s="236"/>
      <c r="F764" s="236"/>
      <c r="G764" s="236"/>
      <c r="H764" s="236"/>
      <c r="I764" s="236"/>
      <c r="J764" s="236"/>
      <c r="K764" s="236"/>
      <c r="L764" s="236"/>
      <c r="M764" s="236"/>
      <c r="N764" s="236"/>
      <c r="O764" s="236"/>
      <c r="P764" s="236"/>
      <c r="Q764" s="236"/>
      <c r="R764" s="236"/>
      <c r="S764" s="236"/>
      <c r="T764" s="236"/>
    </row>
    <row r="765" spans="2:20" s="207" customFormat="1" x14ac:dyDescent="0.25">
      <c r="B765" s="236"/>
      <c r="C765" s="236"/>
      <c r="D765" s="236"/>
      <c r="E765" s="236"/>
      <c r="F765" s="236"/>
      <c r="G765" s="236"/>
      <c r="H765" s="236"/>
      <c r="I765" s="236"/>
      <c r="J765" s="236"/>
      <c r="K765" s="236"/>
      <c r="L765" s="236"/>
      <c r="M765" s="236"/>
      <c r="N765" s="236"/>
      <c r="O765" s="236"/>
      <c r="P765" s="236"/>
      <c r="Q765" s="236"/>
      <c r="R765" s="236"/>
      <c r="S765" s="236"/>
      <c r="T765" s="236"/>
    </row>
    <row r="766" spans="2:20" s="207" customFormat="1" x14ac:dyDescent="0.25">
      <c r="B766" s="236"/>
      <c r="C766" s="236"/>
      <c r="D766" s="236"/>
      <c r="E766" s="236"/>
      <c r="F766" s="236"/>
      <c r="G766" s="236"/>
      <c r="H766" s="236"/>
      <c r="I766" s="236"/>
      <c r="J766" s="236"/>
      <c r="K766" s="236"/>
      <c r="L766" s="236"/>
      <c r="M766" s="236"/>
      <c r="N766" s="236"/>
      <c r="O766" s="236"/>
      <c r="P766" s="236"/>
      <c r="Q766" s="236"/>
      <c r="R766" s="236"/>
      <c r="S766" s="236"/>
      <c r="T766" s="236"/>
    </row>
    <row r="767" spans="2:20" s="207" customFormat="1" x14ac:dyDescent="0.25">
      <c r="B767" s="236"/>
      <c r="C767" s="236"/>
      <c r="D767" s="236"/>
      <c r="E767" s="236"/>
      <c r="F767" s="236"/>
      <c r="G767" s="236"/>
      <c r="H767" s="236"/>
      <c r="I767" s="236"/>
      <c r="J767" s="236"/>
      <c r="K767" s="236"/>
      <c r="L767" s="236"/>
      <c r="M767" s="236"/>
      <c r="N767" s="236"/>
      <c r="O767" s="236"/>
      <c r="P767" s="236"/>
      <c r="Q767" s="236"/>
      <c r="R767" s="236"/>
      <c r="S767" s="236"/>
      <c r="T767" s="236"/>
    </row>
    <row r="768" spans="2:20" s="207" customFormat="1" x14ac:dyDescent="0.25">
      <c r="B768" s="236"/>
      <c r="C768" s="236"/>
      <c r="D768" s="236"/>
      <c r="E768" s="236"/>
      <c r="F768" s="236"/>
      <c r="G768" s="236"/>
      <c r="H768" s="236"/>
      <c r="I768" s="236"/>
      <c r="J768" s="236"/>
      <c r="K768" s="236"/>
      <c r="L768" s="236"/>
      <c r="M768" s="236"/>
      <c r="N768" s="236"/>
      <c r="O768" s="236"/>
      <c r="P768" s="236"/>
      <c r="Q768" s="236"/>
      <c r="R768" s="236"/>
      <c r="S768" s="236"/>
      <c r="T768" s="236"/>
    </row>
    <row r="769" spans="2:20" s="207" customFormat="1" x14ac:dyDescent="0.25">
      <c r="B769" s="236"/>
      <c r="C769" s="236"/>
      <c r="D769" s="236"/>
      <c r="E769" s="236"/>
      <c r="F769" s="236"/>
      <c r="G769" s="236"/>
      <c r="H769" s="236"/>
      <c r="I769" s="236"/>
      <c r="J769" s="236"/>
      <c r="K769" s="236"/>
      <c r="L769" s="236"/>
      <c r="M769" s="236"/>
      <c r="N769" s="236"/>
      <c r="O769" s="236"/>
      <c r="P769" s="236"/>
      <c r="Q769" s="236"/>
      <c r="R769" s="236"/>
      <c r="S769" s="236"/>
      <c r="T769" s="236"/>
    </row>
    <row r="770" spans="2:20" s="207" customFormat="1" x14ac:dyDescent="0.25">
      <c r="B770" s="236"/>
      <c r="C770" s="236"/>
      <c r="D770" s="236"/>
      <c r="E770" s="236"/>
      <c r="F770" s="236"/>
      <c r="G770" s="236"/>
      <c r="H770" s="236"/>
      <c r="I770" s="236"/>
      <c r="J770" s="236"/>
      <c r="K770" s="236"/>
      <c r="L770" s="236"/>
      <c r="M770" s="236"/>
      <c r="N770" s="236"/>
      <c r="O770" s="236"/>
      <c r="P770" s="236"/>
      <c r="Q770" s="236"/>
      <c r="R770" s="236"/>
      <c r="S770" s="236"/>
      <c r="T770" s="236"/>
    </row>
    <row r="771" spans="2:20" s="207" customFormat="1" x14ac:dyDescent="0.25">
      <c r="B771" s="236"/>
      <c r="C771" s="236"/>
      <c r="D771" s="236"/>
      <c r="E771" s="236"/>
      <c r="F771" s="236"/>
      <c r="G771" s="236"/>
      <c r="H771" s="236"/>
      <c r="I771" s="236"/>
      <c r="J771" s="236"/>
      <c r="K771" s="236"/>
      <c r="L771" s="236"/>
      <c r="M771" s="236"/>
      <c r="N771" s="236"/>
      <c r="O771" s="236"/>
      <c r="P771" s="236"/>
      <c r="Q771" s="236"/>
      <c r="R771" s="236"/>
      <c r="S771" s="236"/>
      <c r="T771" s="236"/>
    </row>
    <row r="772" spans="2:20" s="207" customFormat="1" x14ac:dyDescent="0.25">
      <c r="B772" s="236"/>
      <c r="C772" s="236"/>
      <c r="D772" s="236"/>
      <c r="E772" s="236"/>
      <c r="F772" s="236"/>
      <c r="G772" s="236"/>
      <c r="H772" s="236"/>
      <c r="I772" s="236"/>
      <c r="J772" s="236"/>
      <c r="K772" s="236"/>
      <c r="L772" s="236"/>
      <c r="M772" s="236"/>
      <c r="N772" s="236"/>
      <c r="O772" s="236"/>
      <c r="P772" s="236"/>
      <c r="Q772" s="236"/>
      <c r="R772" s="236"/>
      <c r="S772" s="236"/>
      <c r="T772" s="236"/>
    </row>
    <row r="773" spans="2:20" s="207" customFormat="1" x14ac:dyDescent="0.25">
      <c r="B773" s="236"/>
      <c r="C773" s="236"/>
      <c r="D773" s="236"/>
      <c r="E773" s="236"/>
      <c r="F773" s="236"/>
      <c r="G773" s="236"/>
      <c r="H773" s="236"/>
      <c r="I773" s="236"/>
      <c r="J773" s="236"/>
      <c r="K773" s="236"/>
      <c r="L773" s="236"/>
      <c r="M773" s="236"/>
      <c r="N773" s="236"/>
      <c r="O773" s="236"/>
      <c r="P773" s="236"/>
      <c r="Q773" s="236"/>
      <c r="R773" s="236"/>
      <c r="S773" s="236"/>
      <c r="T773" s="236"/>
    </row>
    <row r="778" spans="2:20" ht="21" x14ac:dyDescent="0.25">
      <c r="C778" s="235" t="s">
        <v>270</v>
      </c>
    </row>
    <row r="781" spans="2:20" s="207" customFormat="1" x14ac:dyDescent="0.25">
      <c r="B781" s="236"/>
      <c r="C781" s="236"/>
      <c r="D781" s="236"/>
      <c r="E781" s="236"/>
      <c r="F781" s="236"/>
      <c r="G781" s="236"/>
      <c r="H781" s="236"/>
      <c r="I781" s="236"/>
      <c r="J781" s="236"/>
      <c r="K781" s="236"/>
      <c r="L781" s="236"/>
      <c r="M781" s="236"/>
      <c r="N781" s="236"/>
      <c r="O781" s="236"/>
      <c r="P781" s="236"/>
      <c r="Q781" s="236"/>
      <c r="R781" s="236"/>
      <c r="S781" s="236"/>
      <c r="T781" s="236"/>
    </row>
    <row r="782" spans="2:20" s="207" customFormat="1" ht="15" customHeight="1" x14ac:dyDescent="0.25">
      <c r="B782" s="236"/>
      <c r="C782" s="378"/>
      <c r="D782" s="379" t="s">
        <v>182</v>
      </c>
      <c r="E782" s="379"/>
      <c r="F782" s="379"/>
      <c r="G782" s="379"/>
      <c r="H782" s="379"/>
      <c r="I782" s="379"/>
      <c r="J782" s="379" t="s">
        <v>183</v>
      </c>
      <c r="K782" s="379"/>
      <c r="L782" s="236"/>
      <c r="M782" s="236"/>
      <c r="N782" s="236"/>
      <c r="O782" s="236"/>
      <c r="P782" s="236"/>
      <c r="Q782" s="236"/>
      <c r="R782" s="236"/>
      <c r="S782" s="236"/>
      <c r="T782" s="236"/>
    </row>
    <row r="783" spans="2:20" s="207" customFormat="1" x14ac:dyDescent="0.25">
      <c r="B783" s="236"/>
      <c r="C783" s="378"/>
      <c r="D783" s="378" t="s">
        <v>185</v>
      </c>
      <c r="E783" s="379" t="s">
        <v>184</v>
      </c>
      <c r="F783" s="379"/>
      <c r="G783" s="379"/>
      <c r="H783" s="379"/>
      <c r="I783" s="379"/>
      <c r="J783" s="378" t="s">
        <v>21</v>
      </c>
      <c r="K783" s="378" t="s">
        <v>22</v>
      </c>
      <c r="L783" s="236"/>
      <c r="M783" s="236"/>
      <c r="N783" s="236"/>
      <c r="O783" s="236"/>
      <c r="P783" s="236"/>
      <c r="Q783" s="236"/>
      <c r="R783" s="236"/>
      <c r="S783" s="236"/>
      <c r="T783" s="236"/>
    </row>
    <row r="784" spans="2:20" s="207" customFormat="1" ht="25.5" x14ac:dyDescent="0.25">
      <c r="B784" s="236"/>
      <c r="C784" s="378"/>
      <c r="D784" s="378"/>
      <c r="E784" s="258" t="s">
        <v>186</v>
      </c>
      <c r="F784" s="258" t="s">
        <v>378</v>
      </c>
      <c r="G784" s="258" t="s">
        <v>379</v>
      </c>
      <c r="H784" s="258" t="s">
        <v>187</v>
      </c>
      <c r="I784" s="258" t="s">
        <v>40</v>
      </c>
      <c r="J784" s="378"/>
      <c r="K784" s="378"/>
      <c r="L784" s="236"/>
      <c r="M784" s="236"/>
      <c r="N784" s="236"/>
      <c r="O784" s="236"/>
      <c r="P784" s="236"/>
      <c r="Q784" s="236"/>
      <c r="R784" s="236"/>
      <c r="S784" s="236"/>
      <c r="T784" s="236"/>
    </row>
    <row r="785" spans="2:20" s="207" customFormat="1" x14ac:dyDescent="0.25">
      <c r="B785" s="236"/>
      <c r="C785" s="248" t="str">
        <f>Taules!C310</f>
        <v>TOTAL UPC</v>
      </c>
      <c r="D785" s="243">
        <f>Taules!F310</f>
        <v>0.30388294879009564</v>
      </c>
      <c r="E785" s="243">
        <f>Taules!G310</f>
        <v>0.14687675858187957</v>
      </c>
      <c r="F785" s="243">
        <f>Taules!H310</f>
        <v>0.13674732695554306</v>
      </c>
      <c r="G785" s="243">
        <f>Taules!I310</f>
        <v>0.29712999437253801</v>
      </c>
      <c r="H785" s="243">
        <f>Taules!J310</f>
        <v>4.5019696117051207E-2</v>
      </c>
      <c r="I785" s="243">
        <f>Taules!K310</f>
        <v>7.0343275182892517E-2</v>
      </c>
      <c r="J785" s="243">
        <f>Taules!N310</f>
        <v>0.61538461538461542</v>
      </c>
      <c r="K785" s="243">
        <f>Taules!O310</f>
        <v>0.38461538461538464</v>
      </c>
      <c r="L785" s="236"/>
      <c r="M785" s="236"/>
      <c r="N785" s="236"/>
      <c r="O785" s="236"/>
      <c r="P785" s="236"/>
      <c r="Q785" s="236"/>
      <c r="R785" s="236"/>
      <c r="S785" s="236"/>
      <c r="T785" s="236"/>
    </row>
    <row r="786" spans="2:20" s="207" customFormat="1" x14ac:dyDescent="0.25">
      <c r="B786" s="236"/>
      <c r="C786" s="236"/>
      <c r="D786" s="236"/>
      <c r="E786" s="236"/>
      <c r="F786" s="236"/>
      <c r="G786" s="236"/>
      <c r="H786" s="236"/>
      <c r="I786" s="236"/>
      <c r="J786" s="236"/>
      <c r="K786" s="236"/>
      <c r="L786" s="236"/>
      <c r="M786" s="236"/>
      <c r="N786" s="236"/>
      <c r="O786" s="236"/>
      <c r="P786" s="236"/>
      <c r="Q786" s="236"/>
      <c r="R786" s="236"/>
      <c r="S786" s="236"/>
      <c r="T786" s="236"/>
    </row>
    <row r="787" spans="2:20" s="207" customFormat="1" x14ac:dyDescent="0.25">
      <c r="B787" s="236"/>
      <c r="C787" s="236"/>
      <c r="D787" s="236"/>
      <c r="E787" s="236"/>
      <c r="F787" s="236"/>
      <c r="G787" s="236"/>
      <c r="H787" s="236"/>
      <c r="I787" s="236"/>
      <c r="J787" s="236"/>
      <c r="K787" s="236"/>
      <c r="L787" s="236"/>
      <c r="M787" s="236"/>
      <c r="N787" s="236"/>
      <c r="O787" s="236"/>
      <c r="P787" s="236"/>
      <c r="Q787" s="236"/>
      <c r="R787" s="236"/>
      <c r="S787" s="236"/>
      <c r="T787" s="236"/>
    </row>
    <row r="788" spans="2:20" s="207" customFormat="1" x14ac:dyDescent="0.25">
      <c r="B788" s="236"/>
      <c r="C788" s="236"/>
      <c r="D788" s="236"/>
      <c r="E788" s="236"/>
      <c r="F788" s="236"/>
      <c r="G788" s="236"/>
      <c r="H788" s="236"/>
      <c r="I788" s="236"/>
      <c r="J788" s="236"/>
      <c r="K788" s="236"/>
      <c r="L788" s="236"/>
      <c r="M788" s="236"/>
      <c r="N788" s="236"/>
      <c r="O788" s="236"/>
      <c r="P788" s="236"/>
      <c r="Q788" s="236"/>
      <c r="R788" s="236"/>
      <c r="S788" s="236"/>
      <c r="T788" s="236"/>
    </row>
    <row r="789" spans="2:20" s="207" customFormat="1" x14ac:dyDescent="0.25">
      <c r="B789" s="236"/>
      <c r="C789" s="236"/>
      <c r="D789" s="236"/>
      <c r="E789" s="236"/>
      <c r="F789" s="236"/>
      <c r="G789" s="236"/>
      <c r="H789" s="236"/>
      <c r="I789" s="236"/>
      <c r="J789" s="236"/>
      <c r="K789" s="236"/>
      <c r="L789" s="236"/>
      <c r="M789" s="236"/>
      <c r="N789" s="236"/>
      <c r="O789" s="236"/>
      <c r="P789" s="236"/>
      <c r="Q789" s="236"/>
      <c r="R789" s="236"/>
      <c r="S789" s="236"/>
      <c r="T789" s="236"/>
    </row>
    <row r="790" spans="2:20" s="207" customFormat="1" x14ac:dyDescent="0.25">
      <c r="B790" s="236"/>
      <c r="C790" s="236"/>
      <c r="D790" s="236"/>
      <c r="E790" s="236"/>
      <c r="F790" s="236"/>
      <c r="G790" s="236"/>
      <c r="H790" s="236"/>
      <c r="I790" s="236"/>
      <c r="J790" s="236"/>
      <c r="K790" s="236"/>
      <c r="L790" s="236"/>
      <c r="M790" s="236"/>
      <c r="N790" s="236"/>
      <c r="O790" s="236"/>
      <c r="P790" s="236"/>
      <c r="Q790" s="236"/>
      <c r="R790" s="236"/>
      <c r="S790" s="236"/>
      <c r="T790" s="236"/>
    </row>
    <row r="791" spans="2:20" s="207" customFormat="1" x14ac:dyDescent="0.25">
      <c r="B791" s="236"/>
      <c r="C791" s="236"/>
      <c r="D791" s="236"/>
      <c r="E791" s="236"/>
      <c r="F791" s="236"/>
      <c r="G791" s="236"/>
      <c r="H791" s="236"/>
      <c r="I791" s="236"/>
      <c r="J791" s="236"/>
      <c r="K791" s="236"/>
      <c r="L791" s="236"/>
      <c r="M791" s="236"/>
      <c r="N791" s="236"/>
      <c r="O791" s="236"/>
      <c r="P791" s="236"/>
      <c r="Q791" s="236"/>
      <c r="R791" s="236"/>
      <c r="S791" s="236"/>
      <c r="T791" s="236"/>
    </row>
    <row r="792" spans="2:20" s="207" customFormat="1" x14ac:dyDescent="0.25">
      <c r="B792" s="236"/>
      <c r="C792" s="236"/>
      <c r="D792" s="236"/>
      <c r="E792" s="236"/>
      <c r="F792" s="236"/>
      <c r="G792" s="236"/>
      <c r="H792" s="236"/>
      <c r="I792" s="236"/>
      <c r="J792" s="236"/>
      <c r="K792" s="236"/>
      <c r="L792" s="236"/>
      <c r="M792" s="236"/>
      <c r="N792" s="236"/>
      <c r="O792" s="236"/>
      <c r="P792" s="236"/>
      <c r="Q792" s="236"/>
      <c r="R792" s="236"/>
      <c r="S792" s="236"/>
      <c r="T792" s="236"/>
    </row>
    <row r="793" spans="2:20" s="207" customFormat="1" x14ac:dyDescent="0.25">
      <c r="B793" s="236"/>
      <c r="C793" s="236"/>
      <c r="D793" s="236"/>
      <c r="E793" s="236"/>
      <c r="F793" s="236"/>
      <c r="G793" s="236"/>
      <c r="H793" s="236"/>
      <c r="I793" s="236"/>
      <c r="J793" s="236"/>
      <c r="K793" s="236"/>
      <c r="L793" s="236"/>
      <c r="M793" s="236"/>
      <c r="N793" s="236"/>
      <c r="O793" s="236"/>
      <c r="P793" s="236"/>
      <c r="Q793" s="236"/>
      <c r="R793" s="236"/>
      <c r="S793" s="236"/>
      <c r="T793" s="236"/>
    </row>
    <row r="794" spans="2:20" s="207" customFormat="1" x14ac:dyDescent="0.25">
      <c r="B794" s="236"/>
      <c r="C794" s="236"/>
      <c r="D794" s="236"/>
      <c r="E794" s="236"/>
      <c r="F794" s="236"/>
      <c r="G794" s="236"/>
      <c r="H794" s="236"/>
      <c r="I794" s="236"/>
      <c r="J794" s="236"/>
      <c r="K794" s="236"/>
      <c r="L794" s="236"/>
      <c r="M794" s="236"/>
      <c r="N794" s="236"/>
      <c r="O794" s="236"/>
      <c r="P794" s="236"/>
      <c r="Q794" s="236"/>
      <c r="R794" s="236"/>
      <c r="S794" s="236"/>
      <c r="T794" s="236"/>
    </row>
    <row r="795" spans="2:20" s="207" customFormat="1" x14ac:dyDescent="0.25">
      <c r="B795" s="236"/>
      <c r="C795" s="236"/>
      <c r="D795" s="236"/>
      <c r="E795" s="236"/>
      <c r="F795" s="236"/>
      <c r="G795" s="236"/>
      <c r="H795" s="236"/>
      <c r="I795" s="236"/>
      <c r="J795" s="236"/>
      <c r="K795" s="236"/>
      <c r="L795" s="236"/>
      <c r="M795" s="236"/>
      <c r="N795" s="236"/>
      <c r="O795" s="236"/>
      <c r="P795" s="236"/>
      <c r="Q795" s="236"/>
      <c r="R795" s="236"/>
      <c r="S795" s="236"/>
      <c r="T795" s="236"/>
    </row>
    <row r="796" spans="2:20" s="207" customFormat="1" x14ac:dyDescent="0.25">
      <c r="B796" s="236"/>
      <c r="C796" s="236"/>
      <c r="D796" s="236"/>
      <c r="E796" s="236"/>
      <c r="F796" s="236"/>
      <c r="G796" s="236"/>
      <c r="H796" s="236"/>
      <c r="I796" s="236"/>
      <c r="J796" s="236"/>
      <c r="K796" s="236"/>
      <c r="L796" s="236"/>
      <c r="M796" s="236"/>
      <c r="N796" s="236"/>
      <c r="O796" s="236"/>
      <c r="P796" s="236"/>
      <c r="Q796" s="236"/>
      <c r="R796" s="236"/>
      <c r="S796" s="236"/>
      <c r="T796" s="236"/>
    </row>
    <row r="797" spans="2:20" s="207" customFormat="1" x14ac:dyDescent="0.25">
      <c r="B797" s="236"/>
      <c r="C797" s="236"/>
      <c r="D797" s="236"/>
      <c r="E797" s="236"/>
      <c r="F797" s="236"/>
      <c r="G797" s="236"/>
      <c r="H797" s="236"/>
      <c r="I797" s="236"/>
      <c r="J797" s="236"/>
      <c r="K797" s="236"/>
      <c r="L797" s="236"/>
      <c r="M797" s="236"/>
      <c r="N797" s="236"/>
      <c r="O797" s="236"/>
      <c r="P797" s="236"/>
      <c r="Q797" s="236"/>
      <c r="R797" s="236"/>
      <c r="S797" s="236"/>
      <c r="T797" s="236"/>
    </row>
    <row r="798" spans="2:20" s="207" customFormat="1" x14ac:dyDescent="0.25">
      <c r="B798" s="236"/>
      <c r="C798" s="236"/>
      <c r="D798" s="236"/>
      <c r="E798" s="236"/>
      <c r="F798" s="236"/>
      <c r="G798" s="236"/>
      <c r="H798" s="236"/>
      <c r="I798" s="236"/>
      <c r="J798" s="236"/>
      <c r="K798" s="236"/>
      <c r="L798" s="236"/>
      <c r="M798" s="236"/>
      <c r="N798" s="236"/>
      <c r="O798" s="236"/>
      <c r="P798" s="236"/>
      <c r="Q798" s="236"/>
      <c r="R798" s="236"/>
      <c r="S798" s="236"/>
      <c r="T798" s="236"/>
    </row>
    <row r="799" spans="2:20" s="207" customFormat="1" x14ac:dyDescent="0.25">
      <c r="B799" s="236"/>
      <c r="C799" s="236"/>
      <c r="D799" s="236"/>
      <c r="E799" s="236"/>
      <c r="F799" s="236"/>
      <c r="G799" s="236"/>
      <c r="H799" s="236"/>
      <c r="I799" s="236"/>
      <c r="J799" s="236"/>
      <c r="K799" s="236"/>
      <c r="L799" s="236"/>
      <c r="M799" s="236"/>
      <c r="N799" s="236"/>
      <c r="O799" s="236"/>
      <c r="P799" s="236"/>
      <c r="Q799" s="236"/>
      <c r="R799" s="236"/>
      <c r="S799" s="236"/>
      <c r="T799" s="236"/>
    </row>
    <row r="800" spans="2:20" s="207" customFormat="1" x14ac:dyDescent="0.25">
      <c r="B800" s="236"/>
      <c r="C800" s="236"/>
      <c r="D800" s="236"/>
      <c r="E800" s="236"/>
      <c r="F800" s="236"/>
      <c r="G800" s="236"/>
      <c r="H800" s="236"/>
      <c r="I800" s="236"/>
      <c r="J800" s="236"/>
      <c r="K800" s="236"/>
      <c r="L800" s="236"/>
      <c r="M800" s="236"/>
      <c r="N800" s="236"/>
      <c r="O800" s="236"/>
      <c r="P800" s="236"/>
      <c r="Q800" s="236"/>
      <c r="R800" s="236"/>
      <c r="S800" s="236"/>
      <c r="T800" s="236"/>
    </row>
    <row r="801" spans="2:20" s="207" customFormat="1" x14ac:dyDescent="0.25">
      <c r="B801" s="236"/>
      <c r="C801" s="236"/>
      <c r="D801" s="236"/>
      <c r="E801" s="236"/>
      <c r="F801" s="236"/>
      <c r="G801" s="236"/>
      <c r="H801" s="236"/>
      <c r="I801" s="236"/>
      <c r="J801" s="236"/>
      <c r="K801" s="236"/>
      <c r="L801" s="236"/>
      <c r="M801" s="236"/>
      <c r="N801" s="236"/>
      <c r="O801" s="236"/>
      <c r="P801" s="236"/>
      <c r="Q801" s="236"/>
      <c r="R801" s="236"/>
      <c r="S801" s="236"/>
      <c r="T801" s="236"/>
    </row>
    <row r="802" spans="2:20" s="207" customFormat="1" x14ac:dyDescent="0.25">
      <c r="B802" s="236"/>
      <c r="C802" s="236"/>
      <c r="D802" s="236"/>
      <c r="E802" s="236"/>
      <c r="F802" s="236"/>
      <c r="G802" s="236"/>
      <c r="H802" s="236"/>
      <c r="I802" s="236"/>
      <c r="J802" s="236"/>
      <c r="K802" s="236"/>
      <c r="L802" s="236"/>
      <c r="M802" s="236"/>
      <c r="N802" s="236"/>
      <c r="O802" s="236"/>
      <c r="P802" s="236"/>
      <c r="Q802" s="236"/>
      <c r="R802" s="236"/>
      <c r="S802" s="236"/>
      <c r="T802" s="236"/>
    </row>
    <row r="803" spans="2:20" s="207" customFormat="1" x14ac:dyDescent="0.25">
      <c r="B803" s="236"/>
      <c r="C803" s="236"/>
      <c r="D803" s="236"/>
      <c r="E803" s="236"/>
      <c r="F803" s="236"/>
      <c r="G803" s="236"/>
      <c r="H803" s="236"/>
      <c r="I803" s="236"/>
      <c r="J803" s="236"/>
      <c r="K803" s="236"/>
      <c r="L803" s="236"/>
      <c r="M803" s="236"/>
      <c r="N803" s="236"/>
      <c r="O803" s="236"/>
      <c r="P803" s="236"/>
      <c r="Q803" s="236"/>
      <c r="R803" s="236"/>
      <c r="S803" s="236"/>
      <c r="T803" s="236"/>
    </row>
    <row r="804" spans="2:20" s="207" customFormat="1" x14ac:dyDescent="0.25">
      <c r="B804" s="236"/>
      <c r="C804" s="236"/>
      <c r="D804" s="236"/>
      <c r="E804" s="236"/>
      <c r="F804" s="236"/>
      <c r="G804" s="236"/>
      <c r="H804" s="236"/>
      <c r="I804" s="236"/>
      <c r="J804" s="236"/>
      <c r="K804" s="236"/>
      <c r="L804" s="236"/>
      <c r="M804" s="236"/>
      <c r="N804" s="236"/>
      <c r="O804" s="236"/>
      <c r="P804" s="236"/>
      <c r="Q804" s="236"/>
      <c r="R804" s="236"/>
      <c r="S804" s="236"/>
      <c r="T804" s="236"/>
    </row>
    <row r="805" spans="2:20" s="207" customFormat="1" x14ac:dyDescent="0.25">
      <c r="B805" s="236"/>
      <c r="C805" s="236"/>
      <c r="D805" s="236"/>
      <c r="E805" s="236"/>
      <c r="F805" s="236"/>
      <c r="G805" s="236"/>
      <c r="H805" s="236"/>
      <c r="I805" s="236"/>
      <c r="J805" s="236"/>
      <c r="K805" s="236"/>
      <c r="L805" s="236"/>
      <c r="M805" s="236"/>
      <c r="N805" s="236"/>
      <c r="O805" s="236"/>
      <c r="P805" s="236"/>
      <c r="Q805" s="236"/>
      <c r="R805" s="236"/>
      <c r="S805" s="236"/>
      <c r="T805" s="236"/>
    </row>
    <row r="806" spans="2:20" s="207" customFormat="1" x14ac:dyDescent="0.25">
      <c r="B806" s="236"/>
      <c r="C806" s="236"/>
      <c r="D806" s="236"/>
      <c r="E806" s="236"/>
      <c r="F806" s="236"/>
      <c r="G806" s="236"/>
      <c r="H806" s="236"/>
      <c r="I806" s="236"/>
      <c r="J806" s="236"/>
      <c r="K806" s="236"/>
      <c r="L806" s="236"/>
      <c r="M806" s="236"/>
      <c r="N806" s="236"/>
      <c r="O806" s="236"/>
      <c r="P806" s="236"/>
      <c r="Q806" s="236"/>
      <c r="R806" s="236"/>
      <c r="S806" s="236"/>
      <c r="T806" s="236"/>
    </row>
    <row r="811" spans="2:20" ht="21" x14ac:dyDescent="0.25">
      <c r="C811" s="235" t="s">
        <v>271</v>
      </c>
    </row>
    <row r="814" spans="2:20" s="207" customFormat="1" x14ac:dyDescent="0.25">
      <c r="B814" s="236"/>
      <c r="C814" s="386"/>
      <c r="D814" s="386" t="s">
        <v>196</v>
      </c>
      <c r="E814" s="386"/>
      <c r="F814" s="386"/>
      <c r="G814" s="386"/>
      <c r="H814" s="386"/>
      <c r="I814" s="236"/>
      <c r="J814" s="236"/>
      <c r="K814" s="236"/>
      <c r="L814" s="236"/>
      <c r="M814" s="236"/>
      <c r="N814" s="236"/>
      <c r="O814" s="236"/>
      <c r="P814" s="236"/>
      <c r="Q814" s="236"/>
      <c r="R814" s="236"/>
      <c r="S814" s="236"/>
      <c r="T814" s="236"/>
    </row>
    <row r="815" spans="2:20" s="207" customFormat="1" ht="15" customHeight="1" x14ac:dyDescent="0.25">
      <c r="B815" s="236"/>
      <c r="C815" s="386"/>
      <c r="D815" s="271" t="s">
        <v>188</v>
      </c>
      <c r="E815" s="271" t="s">
        <v>188</v>
      </c>
      <c r="F815" s="271"/>
      <c r="G815" s="271"/>
      <c r="H815" s="271"/>
      <c r="I815" s="236"/>
      <c r="J815" s="236"/>
      <c r="K815" s="236"/>
      <c r="L815" s="236"/>
      <c r="M815" s="236"/>
      <c r="N815" s="236"/>
      <c r="O815" s="236"/>
      <c r="P815" s="236"/>
      <c r="Q815" s="236"/>
      <c r="R815" s="236"/>
      <c r="S815" s="236"/>
      <c r="T815" s="236"/>
    </row>
    <row r="816" spans="2:20" s="207" customFormat="1" x14ac:dyDescent="0.25">
      <c r="B816" s="236"/>
      <c r="C816" s="386"/>
      <c r="D816" s="379" t="s">
        <v>2</v>
      </c>
      <c r="E816" s="378" t="s">
        <v>185</v>
      </c>
      <c r="F816" s="379" t="s">
        <v>349</v>
      </c>
      <c r="G816" s="379"/>
      <c r="H816" s="379"/>
      <c r="I816" s="236"/>
      <c r="J816" s="236"/>
      <c r="K816" s="236"/>
      <c r="L816" s="236"/>
      <c r="M816" s="236"/>
      <c r="N816" s="236"/>
      <c r="O816" s="236"/>
      <c r="P816" s="236"/>
      <c r="Q816" s="236"/>
      <c r="R816" s="236"/>
      <c r="S816" s="236"/>
      <c r="T816" s="236"/>
    </row>
    <row r="817" spans="2:20" s="207" customFormat="1" ht="25.5" x14ac:dyDescent="0.25">
      <c r="B817" s="236"/>
      <c r="C817" s="386"/>
      <c r="D817" s="379"/>
      <c r="E817" s="378"/>
      <c r="F817" s="258" t="s">
        <v>189</v>
      </c>
      <c r="G817" s="258" t="s">
        <v>190</v>
      </c>
      <c r="H817" s="258" t="s">
        <v>191</v>
      </c>
      <c r="I817" s="236"/>
      <c r="J817" s="236"/>
      <c r="K817" s="236"/>
      <c r="L817" s="236"/>
      <c r="M817" s="236"/>
      <c r="N817" s="236"/>
      <c r="O817" s="236"/>
      <c r="P817" s="236"/>
      <c r="Q817" s="236"/>
      <c r="R817" s="236"/>
      <c r="S817" s="236"/>
      <c r="T817" s="236"/>
    </row>
    <row r="818" spans="2:20" s="207" customFormat="1" x14ac:dyDescent="0.25">
      <c r="B818" s="236"/>
      <c r="C818" s="248" t="s">
        <v>335</v>
      </c>
      <c r="D818" s="241">
        <f>Taules!D320</f>
        <v>1778</v>
      </c>
      <c r="E818" s="243">
        <f>Taules!E320</f>
        <v>0.56861642294713166</v>
      </c>
      <c r="F818" s="243">
        <f>Taules!F320</f>
        <v>0.15129358830146231</v>
      </c>
      <c r="G818" s="243">
        <f>Taules!G320</f>
        <v>0.16254218222722161</v>
      </c>
      <c r="H818" s="243">
        <f>Taules!H320</f>
        <v>0.11754780652418448</v>
      </c>
      <c r="I818" s="236"/>
      <c r="J818" s="236"/>
      <c r="K818" s="236"/>
      <c r="L818" s="236"/>
      <c r="M818" s="236"/>
      <c r="N818" s="236"/>
      <c r="O818" s="236"/>
      <c r="P818" s="236"/>
      <c r="Q818" s="236"/>
      <c r="R818" s="236"/>
      <c r="S818" s="236"/>
      <c r="T818" s="236"/>
    </row>
    <row r="819" spans="2:20" s="207" customFormat="1" x14ac:dyDescent="0.25">
      <c r="B819" s="236"/>
      <c r="C819" s="236"/>
      <c r="D819" s="236"/>
      <c r="E819" s="236"/>
      <c r="F819" s="236"/>
      <c r="G819" s="236"/>
      <c r="H819" s="236"/>
      <c r="I819" s="236"/>
      <c r="J819" s="236"/>
      <c r="K819" s="236"/>
      <c r="L819" s="236"/>
      <c r="M819" s="236"/>
      <c r="N819" s="236"/>
      <c r="O819" s="236"/>
      <c r="P819" s="236"/>
      <c r="Q819" s="236"/>
      <c r="R819" s="236"/>
      <c r="S819" s="236"/>
      <c r="T819" s="236"/>
    </row>
    <row r="820" spans="2:20" s="207" customFormat="1" x14ac:dyDescent="0.25">
      <c r="B820" s="236"/>
      <c r="C820" s="236"/>
      <c r="D820" s="236"/>
      <c r="E820" s="236"/>
      <c r="F820" s="236"/>
      <c r="G820" s="236"/>
      <c r="H820" s="236"/>
      <c r="I820" s="236"/>
      <c r="J820" s="236"/>
      <c r="K820" s="236"/>
      <c r="L820" s="236"/>
      <c r="M820" s="236"/>
      <c r="N820" s="236"/>
      <c r="O820" s="236"/>
      <c r="P820" s="236"/>
      <c r="Q820" s="236"/>
      <c r="R820" s="236"/>
      <c r="S820" s="236"/>
      <c r="T820" s="236"/>
    </row>
    <row r="821" spans="2:20" s="207" customFormat="1" x14ac:dyDescent="0.25">
      <c r="B821" s="236"/>
      <c r="C821" s="236"/>
      <c r="D821" s="236"/>
      <c r="E821" s="236"/>
      <c r="F821" s="236"/>
      <c r="G821" s="236"/>
      <c r="H821" s="236"/>
      <c r="I821" s="236"/>
      <c r="J821" s="236"/>
      <c r="K821" s="236"/>
      <c r="L821" s="236"/>
      <c r="M821" s="236"/>
      <c r="N821" s="236"/>
      <c r="O821" s="236"/>
      <c r="P821" s="236"/>
      <c r="Q821" s="236"/>
      <c r="R821" s="236"/>
      <c r="S821" s="236"/>
      <c r="T821" s="236"/>
    </row>
    <row r="822" spans="2:20" s="207" customFormat="1" x14ac:dyDescent="0.25">
      <c r="B822" s="236"/>
      <c r="C822" s="236"/>
      <c r="D822" s="236"/>
      <c r="E822" s="236"/>
      <c r="F822" s="236"/>
      <c r="G822" s="236"/>
      <c r="H822" s="236"/>
      <c r="I822" s="236"/>
      <c r="J822" s="236"/>
      <c r="K822" s="236"/>
      <c r="L822" s="236"/>
      <c r="M822" s="236"/>
      <c r="N822" s="236"/>
      <c r="O822" s="236"/>
      <c r="P822" s="236"/>
      <c r="Q822" s="236"/>
      <c r="R822" s="236"/>
      <c r="S822" s="236"/>
      <c r="T822" s="236"/>
    </row>
    <row r="823" spans="2:20" s="207" customFormat="1" x14ac:dyDescent="0.25">
      <c r="B823" s="236"/>
      <c r="C823" s="236"/>
      <c r="D823" s="236"/>
      <c r="E823" s="236"/>
      <c r="F823" s="236"/>
      <c r="G823" s="236"/>
      <c r="H823" s="236"/>
      <c r="I823" s="236"/>
      <c r="J823" s="236"/>
      <c r="K823" s="236"/>
      <c r="L823" s="236"/>
      <c r="M823" s="236"/>
      <c r="N823" s="236"/>
      <c r="O823" s="236"/>
      <c r="P823" s="236"/>
      <c r="Q823" s="236"/>
      <c r="R823" s="236"/>
      <c r="S823" s="236"/>
      <c r="T823" s="236"/>
    </row>
    <row r="824" spans="2:20" s="207" customFormat="1" x14ac:dyDescent="0.25">
      <c r="B824" s="236"/>
      <c r="C824" s="236"/>
      <c r="D824" s="236"/>
      <c r="E824" s="236"/>
      <c r="F824" s="236"/>
      <c r="G824" s="236"/>
      <c r="H824" s="236"/>
      <c r="I824" s="236"/>
      <c r="J824" s="236"/>
      <c r="K824" s="236"/>
      <c r="L824" s="236"/>
      <c r="M824" s="236"/>
      <c r="N824" s="236"/>
      <c r="O824" s="236"/>
      <c r="P824" s="236"/>
      <c r="Q824" s="236"/>
      <c r="R824" s="236"/>
      <c r="S824" s="236"/>
      <c r="T824" s="236"/>
    </row>
    <row r="825" spans="2:20" s="207" customFormat="1" x14ac:dyDescent="0.25">
      <c r="B825" s="236"/>
      <c r="C825" s="236"/>
      <c r="D825" s="236"/>
      <c r="E825" s="236"/>
      <c r="F825" s="236"/>
      <c r="G825" s="236"/>
      <c r="H825" s="236"/>
      <c r="I825" s="236"/>
      <c r="J825" s="236"/>
      <c r="K825" s="236"/>
      <c r="L825" s="236"/>
      <c r="M825" s="236"/>
      <c r="N825" s="236"/>
      <c r="O825" s="236"/>
      <c r="P825" s="236"/>
      <c r="Q825" s="236"/>
      <c r="R825" s="236"/>
      <c r="S825" s="236"/>
      <c r="T825" s="236"/>
    </row>
    <row r="826" spans="2:20" s="207" customFormat="1" x14ac:dyDescent="0.25">
      <c r="B826" s="236"/>
      <c r="C826" s="236"/>
      <c r="D826" s="236"/>
      <c r="E826" s="236"/>
      <c r="F826" s="236"/>
      <c r="G826" s="236"/>
      <c r="H826" s="236"/>
      <c r="I826" s="236"/>
      <c r="J826" s="236"/>
      <c r="K826" s="236"/>
      <c r="L826" s="236"/>
      <c r="M826" s="236"/>
      <c r="N826" s="236"/>
      <c r="O826" s="236"/>
      <c r="P826" s="236"/>
      <c r="Q826" s="236"/>
      <c r="R826" s="236"/>
      <c r="S826" s="236"/>
      <c r="T826" s="236"/>
    </row>
    <row r="827" spans="2:20" s="207" customFormat="1" x14ac:dyDescent="0.25">
      <c r="B827" s="236"/>
      <c r="C827" s="236"/>
      <c r="D827" s="236"/>
      <c r="E827" s="236"/>
      <c r="F827" s="236"/>
      <c r="G827" s="236"/>
      <c r="H827" s="236"/>
      <c r="I827" s="236"/>
      <c r="J827" s="236"/>
      <c r="K827" s="236"/>
      <c r="L827" s="236"/>
      <c r="M827" s="236"/>
      <c r="N827" s="236"/>
      <c r="O827" s="236"/>
      <c r="P827" s="236"/>
      <c r="Q827" s="236"/>
      <c r="R827" s="236"/>
      <c r="S827" s="236"/>
      <c r="T827" s="236"/>
    </row>
    <row r="828" spans="2:20" s="207" customFormat="1" x14ac:dyDescent="0.25">
      <c r="B828" s="236"/>
      <c r="C828" s="236"/>
      <c r="D828" s="236"/>
      <c r="E828" s="236"/>
      <c r="F828" s="236"/>
      <c r="G828" s="236"/>
      <c r="H828" s="236"/>
      <c r="I828" s="236"/>
      <c r="J828" s="236"/>
      <c r="K828" s="236"/>
      <c r="L828" s="236"/>
      <c r="M828" s="236"/>
      <c r="N828" s="236"/>
      <c r="O828" s="236"/>
      <c r="P828" s="236"/>
      <c r="Q828" s="236"/>
      <c r="R828" s="236"/>
      <c r="S828" s="236"/>
      <c r="T828" s="236"/>
    </row>
    <row r="829" spans="2:20" s="207" customFormat="1" x14ac:dyDescent="0.25">
      <c r="B829" s="236"/>
      <c r="C829" s="236"/>
      <c r="D829" s="236"/>
      <c r="E829" s="236"/>
      <c r="F829" s="236"/>
      <c r="G829" s="236"/>
      <c r="H829" s="236"/>
      <c r="I829" s="236"/>
      <c r="J829" s="236"/>
      <c r="K829" s="236"/>
      <c r="L829" s="236"/>
      <c r="M829" s="236"/>
      <c r="N829" s="236"/>
      <c r="O829" s="236"/>
      <c r="P829" s="236"/>
      <c r="Q829" s="236"/>
      <c r="R829" s="236"/>
      <c r="S829" s="236"/>
      <c r="T829" s="236"/>
    </row>
    <row r="830" spans="2:20" s="207" customFormat="1" x14ac:dyDescent="0.25">
      <c r="B830" s="236"/>
      <c r="C830" s="236"/>
      <c r="D830" s="236"/>
      <c r="E830" s="236"/>
      <c r="F830" s="236"/>
      <c r="G830" s="236"/>
      <c r="H830" s="236"/>
      <c r="I830" s="236"/>
      <c r="J830" s="236"/>
      <c r="K830" s="236"/>
      <c r="L830" s="236"/>
      <c r="M830" s="236"/>
      <c r="N830" s="236"/>
      <c r="O830" s="236"/>
      <c r="P830" s="236"/>
      <c r="Q830" s="236"/>
      <c r="R830" s="236"/>
      <c r="S830" s="236"/>
      <c r="T830" s="236"/>
    </row>
    <row r="831" spans="2:20" s="207" customFormat="1" x14ac:dyDescent="0.25">
      <c r="B831" s="236"/>
      <c r="C831" s="236"/>
      <c r="D831" s="236"/>
      <c r="E831" s="236"/>
      <c r="F831" s="236"/>
      <c r="G831" s="236"/>
      <c r="H831" s="236"/>
      <c r="I831" s="236"/>
      <c r="J831" s="236"/>
      <c r="K831" s="236"/>
      <c r="L831" s="236"/>
      <c r="M831" s="236"/>
      <c r="N831" s="236"/>
      <c r="O831" s="236"/>
      <c r="P831" s="236"/>
      <c r="Q831" s="236"/>
      <c r="R831" s="236"/>
      <c r="S831" s="236"/>
      <c r="T831" s="236"/>
    </row>
    <row r="832" spans="2:20" s="207" customFormat="1" x14ac:dyDescent="0.25">
      <c r="B832" s="236"/>
      <c r="C832" s="236"/>
      <c r="D832" s="236"/>
      <c r="E832" s="236"/>
      <c r="F832" s="236"/>
      <c r="G832" s="236"/>
      <c r="H832" s="236"/>
      <c r="I832" s="236"/>
      <c r="J832" s="236"/>
      <c r="K832" s="236"/>
      <c r="L832" s="236"/>
      <c r="M832" s="236"/>
      <c r="N832" s="236"/>
      <c r="O832" s="236"/>
      <c r="P832" s="236"/>
      <c r="Q832" s="236"/>
      <c r="R832" s="236"/>
      <c r="S832" s="236"/>
      <c r="T832" s="236"/>
    </row>
    <row r="833" spans="1:20" s="207" customFormat="1" x14ac:dyDescent="0.25">
      <c r="B833" s="236"/>
      <c r="C833" s="236"/>
      <c r="D833" s="236"/>
      <c r="E833" s="236"/>
      <c r="F833" s="236"/>
      <c r="G833" s="236"/>
      <c r="H833" s="236"/>
      <c r="I833" s="236"/>
      <c r="J833" s="236"/>
      <c r="K833" s="236"/>
      <c r="L833" s="236"/>
      <c r="M833" s="236"/>
      <c r="N833" s="236"/>
      <c r="O833" s="236"/>
      <c r="P833" s="236"/>
      <c r="Q833" s="236"/>
      <c r="R833" s="236"/>
      <c r="S833" s="236"/>
      <c r="T833" s="236"/>
    </row>
    <row r="834" spans="1:20" s="207" customFormat="1" x14ac:dyDescent="0.25">
      <c r="B834" s="236"/>
      <c r="C834" s="236"/>
      <c r="D834" s="236"/>
      <c r="E834" s="236"/>
      <c r="F834" s="236"/>
      <c r="G834" s="236"/>
      <c r="H834" s="236"/>
      <c r="I834" s="236"/>
      <c r="J834" s="236"/>
      <c r="K834" s="236"/>
      <c r="L834" s="236"/>
      <c r="M834" s="236"/>
      <c r="N834" s="236"/>
      <c r="O834" s="236"/>
      <c r="P834" s="236"/>
      <c r="Q834" s="236"/>
      <c r="R834" s="236"/>
      <c r="S834" s="236"/>
      <c r="T834" s="236"/>
    </row>
    <row r="835" spans="1:20" s="207" customFormat="1" x14ac:dyDescent="0.25">
      <c r="B835" s="236"/>
      <c r="C835" s="236"/>
      <c r="D835" s="236"/>
      <c r="E835" s="236"/>
      <c r="F835" s="236"/>
      <c r="G835" s="236"/>
      <c r="H835" s="236"/>
      <c r="I835" s="236"/>
      <c r="J835" s="236"/>
      <c r="K835" s="236"/>
      <c r="L835" s="236"/>
      <c r="M835" s="236"/>
      <c r="N835" s="236"/>
      <c r="O835" s="236"/>
      <c r="P835" s="236"/>
      <c r="Q835" s="236"/>
      <c r="R835" s="236"/>
      <c r="S835" s="236"/>
      <c r="T835" s="236"/>
    </row>
    <row r="836" spans="1:20" s="207" customFormat="1" x14ac:dyDescent="0.25">
      <c r="B836" s="236"/>
      <c r="C836" s="236"/>
      <c r="D836" s="236"/>
      <c r="E836" s="236"/>
      <c r="F836" s="236"/>
      <c r="G836" s="236"/>
      <c r="H836" s="236"/>
      <c r="I836" s="236"/>
      <c r="J836" s="236"/>
      <c r="K836" s="236"/>
      <c r="L836" s="236"/>
      <c r="M836" s="236"/>
      <c r="N836" s="236"/>
      <c r="O836" s="236"/>
      <c r="P836" s="236"/>
      <c r="Q836" s="236"/>
      <c r="R836" s="236"/>
      <c r="S836" s="236"/>
      <c r="T836" s="236"/>
    </row>
    <row r="837" spans="1:20" s="207" customFormat="1" x14ac:dyDescent="0.25">
      <c r="B837" s="236"/>
      <c r="C837" s="236"/>
      <c r="D837" s="236"/>
      <c r="E837" s="236"/>
      <c r="F837" s="236"/>
      <c r="G837" s="236"/>
      <c r="H837" s="236"/>
      <c r="I837" s="236"/>
      <c r="J837" s="236"/>
      <c r="K837" s="236"/>
      <c r="L837" s="236"/>
      <c r="M837" s="236"/>
      <c r="N837" s="236"/>
      <c r="O837" s="236"/>
      <c r="P837" s="236"/>
      <c r="Q837" s="236"/>
      <c r="R837" s="236"/>
      <c r="S837" s="236"/>
      <c r="T837" s="236"/>
    </row>
    <row r="838" spans="1:20" s="207" customFormat="1" ht="26.25" x14ac:dyDescent="0.4">
      <c r="B838" s="236"/>
      <c r="C838" s="236"/>
      <c r="D838" s="236"/>
      <c r="E838" s="236"/>
      <c r="F838" s="236"/>
      <c r="G838" s="236"/>
      <c r="H838" s="282"/>
      <c r="I838" s="282"/>
      <c r="J838" s="236"/>
      <c r="K838" s="236"/>
      <c r="L838" s="236"/>
      <c r="M838" s="236"/>
      <c r="N838" s="236"/>
      <c r="O838" s="236"/>
      <c r="P838" s="236"/>
      <c r="Q838" s="236"/>
      <c r="R838" s="236"/>
      <c r="S838" s="236"/>
      <c r="T838" s="236"/>
    </row>
    <row r="839" spans="1:20" x14ac:dyDescent="0.25">
      <c r="H839" s="218"/>
      <c r="I839" s="218"/>
    </row>
    <row r="843" spans="1:20" ht="32.25" thickBot="1" x14ac:dyDescent="0.55000000000000004">
      <c r="B843" s="224" t="s">
        <v>231</v>
      </c>
      <c r="C843" s="225"/>
      <c r="D843" s="226"/>
      <c r="E843" s="226"/>
      <c r="F843" s="227"/>
      <c r="G843" s="227"/>
      <c r="H843" s="228"/>
      <c r="I843" s="228"/>
      <c r="J843" s="227"/>
      <c r="K843" s="227"/>
      <c r="L843" s="227"/>
      <c r="M843" s="227"/>
      <c r="N843" s="227"/>
      <c r="O843" s="227"/>
      <c r="P843" s="227"/>
      <c r="Q843" s="228"/>
      <c r="R843" s="228"/>
      <c r="S843" s="228"/>
    </row>
    <row r="844" spans="1:20" s="1" customFormat="1" ht="18.75" customHeight="1" x14ac:dyDescent="0.25">
      <c r="A844" s="10"/>
      <c r="B844" s="218"/>
      <c r="C844" s="283" t="s">
        <v>263</v>
      </c>
      <c r="D844" s="234"/>
      <c r="E844" s="234"/>
      <c r="F844" s="234"/>
      <c r="G844" s="218"/>
      <c r="H844" s="234"/>
      <c r="I844" s="234"/>
      <c r="J844" s="220"/>
      <c r="K844" s="220"/>
      <c r="L844" s="220"/>
      <c r="M844" s="220"/>
      <c r="N844" s="220"/>
      <c r="O844" s="220"/>
      <c r="P844" s="220"/>
      <c r="Q844" s="220"/>
      <c r="R844" s="220"/>
      <c r="S844" s="218"/>
      <c r="T844" s="220"/>
    </row>
    <row r="846" spans="1:20" x14ac:dyDescent="0.25">
      <c r="D846" s="218"/>
      <c r="E846" s="218"/>
      <c r="F846" s="218"/>
    </row>
    <row r="847" spans="1:20" ht="21" x14ac:dyDescent="0.25">
      <c r="C847" s="235" t="s">
        <v>274</v>
      </c>
    </row>
    <row r="849" spans="2:20" s="207" customFormat="1" x14ac:dyDescent="0.25">
      <c r="B849" s="236"/>
      <c r="C849" s="236"/>
      <c r="D849" s="236"/>
      <c r="E849" s="236"/>
      <c r="F849" s="236"/>
      <c r="G849" s="236"/>
      <c r="H849" s="236"/>
      <c r="I849" s="236"/>
      <c r="J849" s="236"/>
      <c r="K849" s="236"/>
      <c r="L849" s="236"/>
      <c r="M849" s="236"/>
      <c r="N849" s="236"/>
      <c r="O849" s="236"/>
      <c r="P849" s="236"/>
      <c r="Q849" s="236"/>
      <c r="R849" s="236"/>
      <c r="S849" s="236"/>
      <c r="T849" s="236"/>
    </row>
    <row r="850" spans="2:20" s="207" customFormat="1" x14ac:dyDescent="0.25">
      <c r="B850" s="236"/>
      <c r="C850" s="257"/>
      <c r="D850" s="258" t="s">
        <v>2</v>
      </c>
      <c r="E850" s="258" t="s">
        <v>195</v>
      </c>
      <c r="F850" s="258" t="s">
        <v>276</v>
      </c>
      <c r="G850" s="258" t="s">
        <v>277</v>
      </c>
      <c r="H850" s="258" t="s">
        <v>278</v>
      </c>
      <c r="I850" s="258" t="s">
        <v>279</v>
      </c>
      <c r="J850" s="236"/>
      <c r="K850" s="236"/>
      <c r="L850" s="236"/>
      <c r="M850" s="236"/>
      <c r="N850" s="236"/>
      <c r="O850" s="236"/>
      <c r="P850" s="236"/>
      <c r="Q850" s="236"/>
      <c r="R850" s="236"/>
      <c r="S850" s="236"/>
      <c r="T850" s="236"/>
    </row>
    <row r="851" spans="2:20" s="207" customFormat="1" x14ac:dyDescent="0.25">
      <c r="B851" s="236"/>
      <c r="C851" s="248" t="str">
        <f>Taules!C333</f>
        <v>TOTAL UPC</v>
      </c>
      <c r="D851" s="241">
        <f>Taules!D333</f>
        <v>1789</v>
      </c>
      <c r="E851" s="241">
        <f>Taules!E333</f>
        <v>4.0245947456679712E-2</v>
      </c>
      <c r="F851" s="243">
        <f>Taules!F333</f>
        <v>0.55897149245388489</v>
      </c>
      <c r="G851" s="243">
        <f>Taules!G333</f>
        <v>0.3873672442705422</v>
      </c>
      <c r="H851" s="243">
        <f>Taules!H333</f>
        <v>1.2297372833985467E-2</v>
      </c>
      <c r="I851" s="243">
        <f>Taules!I333</f>
        <v>1.1179429849077697E-3</v>
      </c>
      <c r="J851" s="236"/>
      <c r="K851" s="236"/>
      <c r="L851" s="236"/>
      <c r="M851" s="236"/>
      <c r="N851" s="236"/>
      <c r="O851" s="236"/>
      <c r="P851" s="236"/>
      <c r="Q851" s="236"/>
      <c r="R851" s="236"/>
      <c r="S851" s="236"/>
      <c r="T851" s="236"/>
    </row>
    <row r="852" spans="2:20" s="207" customFormat="1" x14ac:dyDescent="0.25">
      <c r="B852" s="236"/>
      <c r="C852" s="236"/>
      <c r="D852" s="236"/>
      <c r="E852" s="236"/>
      <c r="F852" s="236"/>
      <c r="G852" s="236"/>
      <c r="H852" s="236"/>
      <c r="I852" s="236"/>
      <c r="J852" s="236"/>
      <c r="K852" s="236"/>
      <c r="L852" s="236"/>
      <c r="M852" s="236"/>
      <c r="N852" s="236"/>
      <c r="O852" s="236"/>
      <c r="P852" s="236"/>
      <c r="Q852" s="236"/>
      <c r="R852" s="236"/>
      <c r="S852" s="236"/>
      <c r="T852" s="236"/>
    </row>
    <row r="853" spans="2:20" s="207" customFormat="1" x14ac:dyDescent="0.25">
      <c r="B853" s="236"/>
      <c r="C853" s="236"/>
      <c r="D853" s="236"/>
      <c r="E853" s="236"/>
      <c r="F853" s="236"/>
      <c r="G853" s="236"/>
      <c r="H853" s="236"/>
      <c r="I853" s="236"/>
      <c r="J853" s="236"/>
      <c r="K853" s="236"/>
      <c r="L853" s="236"/>
      <c r="M853" s="236"/>
      <c r="N853" s="236"/>
      <c r="O853" s="236"/>
      <c r="P853" s="236"/>
      <c r="Q853" s="236"/>
      <c r="R853" s="236"/>
      <c r="S853" s="236"/>
      <c r="T853" s="236"/>
    </row>
    <row r="854" spans="2:20" s="207" customFormat="1" x14ac:dyDescent="0.25">
      <c r="B854" s="236"/>
      <c r="C854" s="236"/>
      <c r="D854" s="236"/>
      <c r="E854" s="236"/>
      <c r="F854" s="236"/>
      <c r="G854" s="236"/>
      <c r="H854" s="236"/>
      <c r="I854" s="236"/>
      <c r="J854" s="236"/>
      <c r="K854" s="236"/>
      <c r="L854" s="236"/>
      <c r="M854" s="236"/>
      <c r="N854" s="236"/>
      <c r="O854" s="236"/>
      <c r="P854" s="236"/>
      <c r="Q854" s="236"/>
      <c r="R854" s="236"/>
      <c r="S854" s="236"/>
      <c r="T854" s="236"/>
    </row>
    <row r="855" spans="2:20" s="207" customFormat="1" x14ac:dyDescent="0.25">
      <c r="B855" s="236"/>
      <c r="C855" s="236"/>
      <c r="D855" s="236"/>
      <c r="E855" s="236"/>
      <c r="F855" s="236"/>
      <c r="G855" s="236"/>
      <c r="H855" s="236"/>
      <c r="I855" s="236"/>
      <c r="J855" s="236"/>
      <c r="K855" s="236"/>
      <c r="L855" s="236"/>
      <c r="M855" s="236"/>
      <c r="N855" s="236"/>
      <c r="O855" s="236"/>
      <c r="P855" s="236"/>
      <c r="Q855" s="236"/>
      <c r="R855" s="236"/>
      <c r="S855" s="236"/>
      <c r="T855" s="236"/>
    </row>
    <row r="856" spans="2:20" s="207" customFormat="1" x14ac:dyDescent="0.25">
      <c r="B856" s="236"/>
      <c r="C856" s="236"/>
      <c r="D856" s="236"/>
      <c r="E856" s="236"/>
      <c r="F856" s="236"/>
      <c r="G856" s="236"/>
      <c r="H856" s="236"/>
      <c r="I856" s="236"/>
      <c r="J856" s="236"/>
      <c r="K856" s="236"/>
      <c r="L856" s="236"/>
      <c r="M856" s="236"/>
      <c r="N856" s="236"/>
      <c r="O856" s="236"/>
      <c r="P856" s="236"/>
      <c r="Q856" s="236"/>
      <c r="R856" s="236"/>
      <c r="S856" s="236"/>
      <c r="T856" s="236"/>
    </row>
    <row r="857" spans="2:20" s="207" customFormat="1" x14ac:dyDescent="0.25">
      <c r="B857" s="236"/>
      <c r="C857" s="236"/>
      <c r="D857" s="236"/>
      <c r="E857" s="236"/>
      <c r="F857" s="236"/>
      <c r="G857" s="236"/>
      <c r="H857" s="236"/>
      <c r="I857" s="236"/>
      <c r="J857" s="236"/>
      <c r="K857" s="236"/>
      <c r="L857" s="236"/>
      <c r="M857" s="236"/>
      <c r="N857" s="236"/>
      <c r="O857" s="236"/>
      <c r="P857" s="236"/>
      <c r="Q857" s="236"/>
      <c r="R857" s="236"/>
      <c r="S857" s="236"/>
      <c r="T857" s="236"/>
    </row>
    <row r="858" spans="2:20" s="207" customFormat="1" x14ac:dyDescent="0.25">
      <c r="B858" s="236"/>
      <c r="C858" s="236"/>
      <c r="D858" s="236"/>
      <c r="E858" s="236"/>
      <c r="F858" s="236"/>
      <c r="G858" s="236"/>
      <c r="H858" s="236"/>
      <c r="I858" s="236"/>
      <c r="J858" s="236"/>
      <c r="K858" s="236"/>
      <c r="L858" s="236"/>
      <c r="M858" s="236"/>
      <c r="N858" s="236"/>
      <c r="O858" s="236"/>
      <c r="P858" s="236"/>
      <c r="Q858" s="236"/>
      <c r="R858" s="236"/>
      <c r="S858" s="236"/>
      <c r="T858" s="236"/>
    </row>
    <row r="859" spans="2:20" s="207" customFormat="1" x14ac:dyDescent="0.25">
      <c r="B859" s="236"/>
      <c r="C859" s="236"/>
      <c r="D859" s="236"/>
      <c r="E859" s="236"/>
      <c r="F859" s="236"/>
      <c r="G859" s="236"/>
      <c r="H859" s="236"/>
      <c r="I859" s="236"/>
      <c r="J859" s="236"/>
      <c r="K859" s="236"/>
      <c r="L859" s="236"/>
      <c r="M859" s="236"/>
      <c r="N859" s="236"/>
      <c r="O859" s="236"/>
      <c r="P859" s="236"/>
      <c r="Q859" s="236"/>
      <c r="R859" s="236"/>
      <c r="S859" s="236"/>
      <c r="T859" s="236"/>
    </row>
    <row r="860" spans="2:20" s="207" customFormat="1" x14ac:dyDescent="0.25">
      <c r="B860" s="236"/>
      <c r="C860" s="236"/>
      <c r="D860" s="236"/>
      <c r="E860" s="236"/>
      <c r="F860" s="236"/>
      <c r="G860" s="236"/>
      <c r="H860" s="236"/>
      <c r="I860" s="236"/>
      <c r="J860" s="236"/>
      <c r="K860" s="236"/>
      <c r="L860" s="236"/>
      <c r="M860" s="236"/>
      <c r="N860" s="236"/>
      <c r="O860" s="236"/>
      <c r="P860" s="236"/>
      <c r="Q860" s="236"/>
      <c r="R860" s="236"/>
      <c r="S860" s="236"/>
      <c r="T860" s="236"/>
    </row>
    <row r="861" spans="2:20" s="207" customFormat="1" x14ac:dyDescent="0.25">
      <c r="B861" s="236"/>
      <c r="C861" s="236"/>
      <c r="D861" s="236"/>
      <c r="E861" s="236"/>
      <c r="F861" s="236"/>
      <c r="G861" s="236"/>
      <c r="H861" s="236"/>
      <c r="I861" s="236"/>
      <c r="J861" s="236"/>
      <c r="K861" s="236"/>
      <c r="L861" s="236"/>
      <c r="M861" s="236"/>
      <c r="N861" s="236"/>
      <c r="O861" s="236"/>
      <c r="P861" s="236"/>
      <c r="Q861" s="236"/>
      <c r="R861" s="236"/>
      <c r="S861" s="236"/>
      <c r="T861" s="236"/>
    </row>
    <row r="862" spans="2:20" s="207" customFormat="1" x14ac:dyDescent="0.25">
      <c r="B862" s="236"/>
      <c r="C862" s="236"/>
      <c r="D862" s="236"/>
      <c r="E862" s="236"/>
      <c r="F862" s="236"/>
      <c r="G862" s="236"/>
      <c r="H862" s="236"/>
      <c r="I862" s="236"/>
      <c r="J862" s="236"/>
      <c r="K862" s="236"/>
      <c r="L862" s="236"/>
      <c r="M862" s="236"/>
      <c r="N862" s="236"/>
      <c r="O862" s="236"/>
      <c r="P862" s="236"/>
      <c r="Q862" s="236"/>
      <c r="R862" s="236"/>
      <c r="S862" s="236"/>
      <c r="T862" s="236"/>
    </row>
    <row r="863" spans="2:20" s="207" customFormat="1" x14ac:dyDescent="0.25">
      <c r="B863" s="236"/>
      <c r="C863" s="236"/>
      <c r="D863" s="236"/>
      <c r="E863" s="236"/>
      <c r="F863" s="236"/>
      <c r="G863" s="236"/>
      <c r="H863" s="236"/>
      <c r="I863" s="236"/>
      <c r="J863" s="236"/>
      <c r="K863" s="236"/>
      <c r="L863" s="236"/>
      <c r="M863" s="236"/>
      <c r="N863" s="236"/>
      <c r="O863" s="236"/>
      <c r="P863" s="236"/>
      <c r="Q863" s="236"/>
      <c r="R863" s="236"/>
      <c r="S863" s="236"/>
      <c r="T863" s="236"/>
    </row>
    <row r="864" spans="2:20" s="207" customFormat="1" x14ac:dyDescent="0.25">
      <c r="B864" s="236"/>
      <c r="C864" s="236"/>
      <c r="D864" s="236"/>
      <c r="E864" s="236"/>
      <c r="F864" s="236"/>
      <c r="G864" s="236"/>
      <c r="H864" s="236"/>
      <c r="I864" s="236"/>
      <c r="J864" s="236"/>
      <c r="K864" s="236"/>
      <c r="L864" s="236"/>
      <c r="M864" s="236"/>
      <c r="N864" s="236"/>
      <c r="O864" s="236"/>
      <c r="P864" s="236"/>
      <c r="Q864" s="236"/>
      <c r="R864" s="236"/>
      <c r="S864" s="236"/>
      <c r="T864" s="236"/>
    </row>
    <row r="865" spans="2:20" s="207" customFormat="1" x14ac:dyDescent="0.25">
      <c r="B865" s="236"/>
      <c r="C865" s="236"/>
      <c r="D865" s="236"/>
      <c r="E865" s="236"/>
      <c r="F865" s="236"/>
      <c r="G865" s="236"/>
      <c r="H865" s="236"/>
      <c r="I865" s="236"/>
      <c r="J865" s="236"/>
      <c r="K865" s="236"/>
      <c r="L865" s="236"/>
      <c r="M865" s="236"/>
      <c r="N865" s="236"/>
      <c r="O865" s="236"/>
      <c r="P865" s="236"/>
      <c r="Q865" s="236"/>
      <c r="R865" s="236"/>
      <c r="S865" s="236"/>
      <c r="T865" s="236"/>
    </row>
    <row r="866" spans="2:20" s="207" customFormat="1" x14ac:dyDescent="0.25">
      <c r="B866" s="236"/>
      <c r="C866" s="236"/>
      <c r="D866" s="236"/>
      <c r="E866" s="236"/>
      <c r="F866" s="236"/>
      <c r="G866" s="236"/>
      <c r="H866" s="236"/>
      <c r="I866" s="236"/>
      <c r="J866" s="236"/>
      <c r="K866" s="236"/>
      <c r="L866" s="236"/>
      <c r="M866" s="236"/>
      <c r="N866" s="236"/>
      <c r="O866" s="236"/>
      <c r="P866" s="236"/>
      <c r="Q866" s="236"/>
      <c r="R866" s="236"/>
      <c r="S866" s="236"/>
      <c r="T866" s="236"/>
    </row>
    <row r="867" spans="2:20" s="207" customFormat="1" x14ac:dyDescent="0.25">
      <c r="B867" s="236"/>
      <c r="C867" s="236"/>
      <c r="D867" s="236"/>
      <c r="E867" s="236"/>
      <c r="F867" s="236"/>
      <c r="G867" s="236"/>
      <c r="H867" s="236"/>
      <c r="I867" s="236"/>
      <c r="J867" s="236"/>
      <c r="K867" s="236"/>
      <c r="L867" s="236"/>
      <c r="M867" s="236"/>
      <c r="N867" s="236"/>
      <c r="O867" s="236"/>
      <c r="P867" s="236"/>
      <c r="Q867" s="236"/>
      <c r="R867" s="236"/>
      <c r="S867" s="236"/>
      <c r="T867" s="236"/>
    </row>
    <row r="868" spans="2:20" s="207" customFormat="1" x14ac:dyDescent="0.25">
      <c r="B868" s="236"/>
      <c r="C868" s="236"/>
      <c r="D868" s="236"/>
      <c r="E868" s="236"/>
      <c r="F868" s="236"/>
      <c r="G868" s="236"/>
      <c r="H868" s="236"/>
      <c r="I868" s="236"/>
      <c r="J868" s="236"/>
      <c r="K868" s="236"/>
      <c r="L868" s="236"/>
      <c r="M868" s="236"/>
      <c r="N868" s="236"/>
      <c r="O868" s="236"/>
      <c r="P868" s="236"/>
      <c r="Q868" s="236"/>
      <c r="R868" s="236"/>
      <c r="S868" s="236"/>
      <c r="T868" s="236"/>
    </row>
    <row r="869" spans="2:20" s="207" customFormat="1" x14ac:dyDescent="0.25">
      <c r="B869" s="236"/>
      <c r="C869" s="236"/>
      <c r="D869" s="236"/>
      <c r="E869" s="236"/>
      <c r="F869" s="236"/>
      <c r="G869" s="236"/>
      <c r="H869" s="236"/>
      <c r="I869" s="236"/>
      <c r="J869" s="236"/>
      <c r="K869" s="236"/>
      <c r="L869" s="236"/>
      <c r="M869" s="236"/>
      <c r="N869" s="236"/>
      <c r="O869" s="236"/>
      <c r="P869" s="236"/>
      <c r="Q869" s="236"/>
      <c r="R869" s="236"/>
      <c r="S869" s="236"/>
      <c r="T869" s="236"/>
    </row>
    <row r="870" spans="2:20" s="207" customFormat="1" x14ac:dyDescent="0.25">
      <c r="B870" s="236"/>
      <c r="C870" s="236"/>
      <c r="D870" s="236"/>
      <c r="E870" s="236"/>
      <c r="F870" s="236"/>
      <c r="G870" s="236"/>
      <c r="H870" s="236"/>
      <c r="I870" s="236"/>
      <c r="J870" s="236"/>
      <c r="K870" s="236"/>
      <c r="L870" s="236"/>
      <c r="M870" s="236"/>
      <c r="N870" s="236"/>
      <c r="O870" s="236"/>
      <c r="P870" s="236"/>
      <c r="Q870" s="236"/>
      <c r="R870" s="236"/>
      <c r="S870" s="236"/>
      <c r="T870" s="236"/>
    </row>
    <row r="871" spans="2:20" s="207" customFormat="1" x14ac:dyDescent="0.25">
      <c r="B871" s="236"/>
      <c r="C871" s="236"/>
      <c r="D871" s="236"/>
      <c r="E871" s="236"/>
      <c r="F871" s="236"/>
      <c r="G871" s="236"/>
      <c r="H871" s="236"/>
      <c r="I871" s="236"/>
      <c r="J871" s="236"/>
      <c r="K871" s="236"/>
      <c r="L871" s="236"/>
      <c r="M871" s="236"/>
      <c r="N871" s="236"/>
      <c r="O871" s="236"/>
      <c r="P871" s="236"/>
      <c r="Q871" s="236"/>
      <c r="R871" s="236"/>
      <c r="S871" s="236"/>
      <c r="T871" s="236"/>
    </row>
    <row r="877" spans="2:20" ht="21" x14ac:dyDescent="0.25">
      <c r="C877" s="235" t="s">
        <v>307</v>
      </c>
    </row>
    <row r="880" spans="2:20" s="207" customFormat="1" ht="76.5" x14ac:dyDescent="0.25">
      <c r="B880" s="236"/>
      <c r="C880" s="257"/>
      <c r="D880" s="258" t="s">
        <v>2</v>
      </c>
      <c r="E880" s="258" t="s">
        <v>195</v>
      </c>
      <c r="F880" s="258" t="s">
        <v>280</v>
      </c>
      <c r="G880" s="258" t="s">
        <v>281</v>
      </c>
      <c r="H880" s="258" t="s">
        <v>282</v>
      </c>
      <c r="I880" s="258" t="s">
        <v>283</v>
      </c>
      <c r="J880" s="258" t="s">
        <v>284</v>
      </c>
      <c r="K880" s="236"/>
      <c r="L880" s="236"/>
      <c r="M880" s="236"/>
      <c r="N880" s="236"/>
      <c r="O880" s="236"/>
      <c r="P880" s="236"/>
      <c r="Q880" s="236"/>
      <c r="R880" s="236"/>
      <c r="S880" s="236"/>
      <c r="T880" s="236"/>
    </row>
    <row r="881" spans="2:20" s="207" customFormat="1" x14ac:dyDescent="0.25">
      <c r="B881" s="236"/>
      <c r="C881" s="248" t="str">
        <f>Taules!C340</f>
        <v>TOTAL UPC</v>
      </c>
      <c r="D881" s="241">
        <f>Taules!D340</f>
        <v>1789</v>
      </c>
      <c r="E881" s="241">
        <f>Taules!E340</f>
        <v>5.5897149245388482E-3</v>
      </c>
      <c r="F881" s="243">
        <f>Taules!F340</f>
        <v>0.33650083845723866</v>
      </c>
      <c r="G881" s="243">
        <f>Taules!G340</f>
        <v>0.12409167132476244</v>
      </c>
      <c r="H881" s="243">
        <f>Taules!H340</f>
        <v>0.17384013415315819</v>
      </c>
      <c r="I881" s="243">
        <f>Taules!I340</f>
        <v>0.18278367803242035</v>
      </c>
      <c r="J881" s="243">
        <f>Taules!J340</f>
        <v>0.17719396310788149</v>
      </c>
      <c r="K881" s="236"/>
      <c r="L881" s="236"/>
      <c r="M881" s="236"/>
      <c r="N881" s="236"/>
      <c r="O881" s="236"/>
      <c r="P881" s="236"/>
      <c r="Q881" s="236"/>
      <c r="R881" s="236"/>
      <c r="S881" s="236"/>
      <c r="T881" s="236"/>
    </row>
    <row r="882" spans="2:20" s="207" customFormat="1" x14ac:dyDescent="0.25">
      <c r="B882" s="236"/>
      <c r="C882" s="236"/>
      <c r="D882" s="236"/>
      <c r="E882" s="236"/>
      <c r="F882" s="236"/>
      <c r="G882" s="236"/>
      <c r="H882" s="236"/>
      <c r="I882" s="236"/>
      <c r="J882" s="236"/>
      <c r="K882" s="236"/>
      <c r="L882" s="236"/>
      <c r="M882" s="236"/>
      <c r="N882" s="236"/>
      <c r="O882" s="236"/>
      <c r="P882" s="236"/>
      <c r="Q882" s="236"/>
      <c r="R882" s="236"/>
      <c r="S882" s="236"/>
      <c r="T882" s="236"/>
    </row>
    <row r="883" spans="2:20" s="207" customFormat="1" x14ac:dyDescent="0.25">
      <c r="B883" s="236"/>
      <c r="C883" s="236"/>
      <c r="D883" s="236"/>
      <c r="E883" s="236"/>
      <c r="F883" s="236"/>
      <c r="G883" s="236"/>
      <c r="H883" s="236"/>
      <c r="I883" s="236"/>
      <c r="J883" s="236"/>
      <c r="K883" s="236"/>
      <c r="L883" s="236"/>
      <c r="M883" s="236"/>
      <c r="N883" s="236"/>
      <c r="O883" s="236"/>
      <c r="P883" s="236"/>
      <c r="Q883" s="236"/>
      <c r="R883" s="236"/>
      <c r="S883" s="236"/>
      <c r="T883" s="236"/>
    </row>
    <row r="884" spans="2:20" s="207" customFormat="1" x14ac:dyDescent="0.25">
      <c r="B884" s="236"/>
      <c r="C884" s="236"/>
      <c r="D884" s="236"/>
      <c r="E884" s="236"/>
      <c r="F884" s="236"/>
      <c r="G884" s="236"/>
      <c r="H884" s="236"/>
      <c r="I884" s="236"/>
      <c r="J884" s="236"/>
      <c r="K884" s="236"/>
      <c r="L884" s="236"/>
      <c r="M884" s="236"/>
      <c r="N884" s="236"/>
      <c r="O884" s="236"/>
      <c r="P884" s="236"/>
      <c r="Q884" s="236"/>
      <c r="R884" s="236"/>
      <c r="S884" s="236"/>
      <c r="T884" s="236"/>
    </row>
    <row r="885" spans="2:20" s="207" customFormat="1" x14ac:dyDescent="0.25">
      <c r="B885" s="236"/>
      <c r="C885" s="236"/>
      <c r="D885" s="236"/>
      <c r="E885" s="236"/>
      <c r="F885" s="236"/>
      <c r="G885" s="236"/>
      <c r="H885" s="236"/>
      <c r="I885" s="236"/>
      <c r="J885" s="236"/>
      <c r="K885" s="236"/>
      <c r="L885" s="236"/>
      <c r="M885" s="236"/>
      <c r="N885" s="236"/>
      <c r="O885" s="236"/>
      <c r="P885" s="236"/>
      <c r="Q885" s="236"/>
      <c r="R885" s="236"/>
      <c r="S885" s="236"/>
      <c r="T885" s="236"/>
    </row>
    <row r="886" spans="2:20" s="207" customFormat="1" x14ac:dyDescent="0.25">
      <c r="B886" s="236"/>
      <c r="C886" s="236"/>
      <c r="D886" s="236"/>
      <c r="E886" s="236"/>
      <c r="F886" s="236"/>
      <c r="G886" s="236"/>
      <c r="H886" s="236"/>
      <c r="I886" s="236"/>
      <c r="J886" s="236"/>
      <c r="K886" s="236"/>
      <c r="L886" s="236"/>
      <c r="M886" s="236"/>
      <c r="N886" s="236"/>
      <c r="O886" s="236"/>
      <c r="P886" s="236"/>
      <c r="Q886" s="236"/>
      <c r="R886" s="236"/>
      <c r="S886" s="236"/>
      <c r="T886" s="236"/>
    </row>
    <row r="887" spans="2:20" s="207" customFormat="1" x14ac:dyDescent="0.25">
      <c r="B887" s="236"/>
      <c r="C887" s="236"/>
      <c r="D887" s="236"/>
      <c r="E887" s="236"/>
      <c r="F887" s="236"/>
      <c r="G887" s="236"/>
      <c r="H887" s="236"/>
      <c r="I887" s="236"/>
      <c r="J887" s="236"/>
      <c r="K887" s="236"/>
      <c r="L887" s="236"/>
      <c r="M887" s="236"/>
      <c r="N887" s="236"/>
      <c r="O887" s="236"/>
      <c r="P887" s="236"/>
      <c r="Q887" s="236"/>
      <c r="R887" s="236"/>
      <c r="S887" s="236"/>
      <c r="T887" s="236"/>
    </row>
    <row r="888" spans="2:20" s="207" customFormat="1" x14ac:dyDescent="0.25">
      <c r="B888" s="236"/>
      <c r="C888" s="236"/>
      <c r="D888" s="236"/>
      <c r="E888" s="236"/>
      <c r="F888" s="236"/>
      <c r="G888" s="236"/>
      <c r="H888" s="236"/>
      <c r="I888" s="236"/>
      <c r="J888" s="236"/>
      <c r="K888" s="236"/>
      <c r="L888" s="236"/>
      <c r="M888" s="236"/>
      <c r="N888" s="236"/>
      <c r="O888" s="236"/>
      <c r="P888" s="236"/>
      <c r="Q888" s="236"/>
      <c r="R888" s="236"/>
      <c r="S888" s="236"/>
      <c r="T888" s="236"/>
    </row>
    <row r="889" spans="2:20" s="207" customFormat="1" x14ac:dyDescent="0.25">
      <c r="B889" s="236"/>
      <c r="C889" s="236"/>
      <c r="D889" s="236"/>
      <c r="E889" s="236"/>
      <c r="F889" s="236"/>
      <c r="G889" s="236"/>
      <c r="H889" s="236"/>
      <c r="I889" s="236"/>
      <c r="J889" s="236"/>
      <c r="K889" s="236"/>
      <c r="L889" s="236"/>
      <c r="M889" s="236"/>
      <c r="N889" s="236"/>
      <c r="O889" s="236"/>
      <c r="P889" s="236"/>
      <c r="Q889" s="236"/>
      <c r="R889" s="236"/>
      <c r="S889" s="236"/>
      <c r="T889" s="236"/>
    </row>
    <row r="890" spans="2:20" s="207" customFormat="1" x14ac:dyDescent="0.25">
      <c r="B890" s="236"/>
      <c r="C890" s="236"/>
      <c r="D890" s="236"/>
      <c r="E890" s="236"/>
      <c r="F890" s="236"/>
      <c r="G890" s="236"/>
      <c r="H890" s="236"/>
      <c r="I890" s="236"/>
      <c r="J890" s="236"/>
      <c r="K890" s="236"/>
      <c r="L890" s="236"/>
      <c r="M890" s="236"/>
      <c r="N890" s="236"/>
      <c r="O890" s="236"/>
      <c r="P890" s="236"/>
      <c r="Q890" s="236"/>
      <c r="R890" s="236"/>
      <c r="S890" s="236"/>
      <c r="T890" s="236"/>
    </row>
    <row r="891" spans="2:20" s="207" customFormat="1" x14ac:dyDescent="0.25">
      <c r="B891" s="236"/>
      <c r="C891" s="236"/>
      <c r="D891" s="236"/>
      <c r="E891" s="236"/>
      <c r="F891" s="236"/>
      <c r="G891" s="236"/>
      <c r="H891" s="236"/>
      <c r="I891" s="236"/>
      <c r="J891" s="236"/>
      <c r="K891" s="236"/>
      <c r="L891" s="236"/>
      <c r="M891" s="236"/>
      <c r="N891" s="236"/>
      <c r="O891" s="236"/>
      <c r="P891" s="236"/>
      <c r="Q891" s="236"/>
      <c r="R891" s="236"/>
      <c r="S891" s="236"/>
      <c r="T891" s="236"/>
    </row>
    <row r="892" spans="2:20" s="207" customFormat="1" x14ac:dyDescent="0.25">
      <c r="B892" s="236"/>
      <c r="C892" s="236"/>
      <c r="D892" s="236"/>
      <c r="E892" s="236"/>
      <c r="F892" s="236"/>
      <c r="G892" s="236"/>
      <c r="H892" s="236"/>
      <c r="I892" s="236"/>
      <c r="J892" s="236"/>
      <c r="K892" s="236"/>
      <c r="L892" s="236"/>
      <c r="M892" s="236"/>
      <c r="N892" s="236"/>
      <c r="O892" s="236"/>
      <c r="P892" s="236"/>
      <c r="Q892" s="236"/>
      <c r="R892" s="236"/>
      <c r="S892" s="236"/>
      <c r="T892" s="236"/>
    </row>
    <row r="893" spans="2:20" s="207" customFormat="1" x14ac:dyDescent="0.25">
      <c r="B893" s="236"/>
      <c r="C893" s="236"/>
      <c r="D893" s="236"/>
      <c r="E893" s="236"/>
      <c r="F893" s="236"/>
      <c r="G893" s="236"/>
      <c r="H893" s="236"/>
      <c r="I893" s="236"/>
      <c r="J893" s="236"/>
      <c r="K893" s="236"/>
      <c r="L893" s="236"/>
      <c r="M893" s="236"/>
      <c r="N893" s="236"/>
      <c r="O893" s="236"/>
      <c r="P893" s="236"/>
      <c r="Q893" s="236"/>
      <c r="R893" s="236"/>
      <c r="S893" s="236"/>
      <c r="T893" s="236"/>
    </row>
    <row r="894" spans="2:20" s="207" customFormat="1" x14ac:dyDescent="0.25">
      <c r="B894" s="236"/>
      <c r="C894" s="236"/>
      <c r="D894" s="236"/>
      <c r="E894" s="236"/>
      <c r="F894" s="236"/>
      <c r="G894" s="236"/>
      <c r="H894" s="236"/>
      <c r="I894" s="236"/>
      <c r="J894" s="236"/>
      <c r="K894" s="236"/>
      <c r="L894" s="236"/>
      <c r="M894" s="236"/>
      <c r="N894" s="236"/>
      <c r="O894" s="236"/>
      <c r="P894" s="236"/>
      <c r="Q894" s="236"/>
      <c r="R894" s="236"/>
      <c r="S894" s="236"/>
      <c r="T894" s="236"/>
    </row>
    <row r="895" spans="2:20" s="207" customFormat="1" x14ac:dyDescent="0.25">
      <c r="B895" s="236"/>
      <c r="C895" s="236"/>
      <c r="D895" s="236"/>
      <c r="E895" s="236"/>
      <c r="F895" s="236"/>
      <c r="G895" s="236"/>
      <c r="H895" s="236"/>
      <c r="I895" s="236"/>
      <c r="J895" s="236"/>
      <c r="K895" s="236"/>
      <c r="L895" s="236"/>
      <c r="M895" s="236"/>
      <c r="N895" s="236"/>
      <c r="O895" s="236"/>
      <c r="P895" s="236"/>
      <c r="Q895" s="236"/>
      <c r="R895" s="236"/>
      <c r="S895" s="236"/>
      <c r="T895" s="236"/>
    </row>
    <row r="896" spans="2:20" s="207" customFormat="1" x14ac:dyDescent="0.25">
      <c r="B896" s="236"/>
      <c r="C896" s="236"/>
      <c r="D896" s="236"/>
      <c r="E896" s="236"/>
      <c r="F896" s="236"/>
      <c r="G896" s="236"/>
      <c r="H896" s="236"/>
      <c r="I896" s="236"/>
      <c r="J896" s="236"/>
      <c r="K896" s="236"/>
      <c r="L896" s="236"/>
      <c r="M896" s="236"/>
      <c r="N896" s="236"/>
      <c r="O896" s="236"/>
      <c r="P896" s="236"/>
      <c r="Q896" s="236"/>
      <c r="R896" s="236"/>
      <c r="S896" s="236"/>
      <c r="T896" s="236"/>
    </row>
    <row r="897" spans="2:20" s="207" customFormat="1" x14ac:dyDescent="0.25">
      <c r="B897" s="236"/>
      <c r="C897" s="236"/>
      <c r="D897" s="236"/>
      <c r="E897" s="236"/>
      <c r="F897" s="236"/>
      <c r="G897" s="236"/>
      <c r="H897" s="236"/>
      <c r="I897" s="236"/>
      <c r="J897" s="236"/>
      <c r="K897" s="236"/>
      <c r="L897" s="236"/>
      <c r="M897" s="236"/>
      <c r="N897" s="236"/>
      <c r="O897" s="236"/>
      <c r="P897" s="236"/>
      <c r="Q897" s="236"/>
      <c r="R897" s="236"/>
      <c r="S897" s="236"/>
      <c r="T897" s="236"/>
    </row>
    <row r="904" spans="2:20" ht="21" x14ac:dyDescent="0.25">
      <c r="C904" s="235" t="s">
        <v>275</v>
      </c>
    </row>
    <row r="905" spans="2:20" ht="21" x14ac:dyDescent="0.25">
      <c r="C905" s="235"/>
    </row>
    <row r="906" spans="2:20" s="207" customFormat="1" x14ac:dyDescent="0.25">
      <c r="B906" s="236"/>
      <c r="C906" s="380"/>
      <c r="D906" s="270"/>
      <c r="E906" s="270"/>
      <c r="F906" s="270"/>
      <c r="G906" s="270"/>
      <c r="H906" s="270" t="s">
        <v>298</v>
      </c>
      <c r="I906" s="270"/>
      <c r="J906" s="270"/>
      <c r="K906" s="270"/>
      <c r="L906" s="270"/>
      <c r="M906" s="270"/>
      <c r="N906" s="270"/>
      <c r="O906" s="236"/>
      <c r="P906" s="236"/>
      <c r="Q906" s="236"/>
      <c r="R906" s="236"/>
      <c r="S906" s="236"/>
      <c r="T906" s="236"/>
    </row>
    <row r="907" spans="2:20" s="207" customFormat="1" x14ac:dyDescent="0.25">
      <c r="B907" s="236"/>
      <c r="C907" s="380"/>
      <c r="D907" s="379" t="s">
        <v>18</v>
      </c>
      <c r="E907" s="379" t="s">
        <v>195</v>
      </c>
      <c r="F907" s="270"/>
      <c r="G907" s="270"/>
      <c r="H907" s="270" t="s">
        <v>285</v>
      </c>
      <c r="I907" s="270"/>
      <c r="J907" s="270" t="s">
        <v>287</v>
      </c>
      <c r="K907" s="270"/>
      <c r="L907" s="270"/>
      <c r="M907" s="270"/>
      <c r="N907" s="270"/>
      <c r="O907" s="236"/>
      <c r="P907" s="236"/>
      <c r="Q907" s="236"/>
      <c r="R907" s="236"/>
      <c r="S907" s="236"/>
      <c r="T907" s="236"/>
    </row>
    <row r="908" spans="2:20" s="207" customFormat="1" x14ac:dyDescent="0.25">
      <c r="B908" s="236"/>
      <c r="C908" s="380"/>
      <c r="D908" s="379"/>
      <c r="E908" s="379"/>
      <c r="F908" s="270"/>
      <c r="G908" s="270"/>
      <c r="H908" s="270" t="s">
        <v>286</v>
      </c>
      <c r="I908" s="270"/>
      <c r="J908" s="270"/>
      <c r="K908" s="270"/>
      <c r="L908" s="270"/>
      <c r="M908" s="270"/>
      <c r="N908" s="270"/>
      <c r="O908" s="236"/>
      <c r="P908" s="236"/>
      <c r="Q908" s="236"/>
      <c r="R908" s="236"/>
      <c r="S908" s="236"/>
      <c r="T908" s="236"/>
    </row>
    <row r="909" spans="2:20" s="207" customFormat="1" ht="25.5" x14ac:dyDescent="0.25">
      <c r="B909" s="236"/>
      <c r="C909" s="380"/>
      <c r="D909" s="379"/>
      <c r="E909" s="379"/>
      <c r="F909" s="258" t="s">
        <v>2</v>
      </c>
      <c r="G909" s="258" t="s">
        <v>195</v>
      </c>
      <c r="H909" s="258" t="s">
        <v>184</v>
      </c>
      <c r="I909" s="258" t="s">
        <v>21</v>
      </c>
      <c r="J909" s="258" t="s">
        <v>195</v>
      </c>
      <c r="K909" s="258" t="s">
        <v>290</v>
      </c>
      <c r="L909" s="258" t="s">
        <v>291</v>
      </c>
      <c r="M909" s="258" t="s">
        <v>292</v>
      </c>
      <c r="N909" s="258" t="s">
        <v>293</v>
      </c>
      <c r="O909" s="236"/>
      <c r="P909" s="236"/>
      <c r="Q909" s="236"/>
      <c r="R909" s="236"/>
      <c r="S909" s="236"/>
      <c r="T909" s="236"/>
    </row>
    <row r="910" spans="2:20" s="207" customFormat="1" x14ac:dyDescent="0.25">
      <c r="B910" s="236"/>
      <c r="C910" s="248" t="str">
        <f>Taules!C358</f>
        <v>TOTAL UPC</v>
      </c>
      <c r="D910" s="241">
        <f>Taules!D350</f>
        <v>2</v>
      </c>
      <c r="E910" s="241">
        <f>Taules!E350</f>
        <v>33</v>
      </c>
      <c r="F910" s="241">
        <f>Taules!F350</f>
        <v>538</v>
      </c>
      <c r="G910" s="241">
        <f>Taules!G350</f>
        <v>3.7174721189591076E-3</v>
      </c>
      <c r="H910" s="243">
        <f>Taules!H350</f>
        <v>0.30669144981412638</v>
      </c>
      <c r="I910" s="243">
        <f>Taules!I350</f>
        <v>0.68959107806691455</v>
      </c>
      <c r="J910" s="243">
        <f>Taules!K350</f>
        <v>9.8684210526315784E-3</v>
      </c>
      <c r="K910" s="243">
        <f>Taules!L350</f>
        <v>0.22944078947368421</v>
      </c>
      <c r="L910" s="243">
        <f>Taules!M350</f>
        <v>0.20065789473684212</v>
      </c>
      <c r="M910" s="243">
        <f>Taules!N350</f>
        <v>0.35115131578947367</v>
      </c>
      <c r="N910" s="243">
        <f>Taules!O350</f>
        <v>0.20888157894736842</v>
      </c>
      <c r="O910" s="236"/>
      <c r="P910" s="236"/>
      <c r="Q910" s="236"/>
      <c r="R910" s="236"/>
      <c r="S910" s="236"/>
      <c r="T910" s="236"/>
    </row>
    <row r="911" spans="2:20" s="207" customFormat="1" x14ac:dyDescent="0.25">
      <c r="B911" s="236"/>
      <c r="C911" s="236"/>
      <c r="D911" s="236"/>
      <c r="E911" s="236"/>
      <c r="F911" s="236"/>
      <c r="G911" s="236"/>
      <c r="H911" s="236"/>
      <c r="I911" s="236"/>
      <c r="J911" s="236"/>
      <c r="K911" s="236"/>
      <c r="L911" s="236"/>
      <c r="M911" s="236"/>
      <c r="N911" s="236"/>
      <c r="O911" s="236"/>
      <c r="P911" s="236"/>
      <c r="Q911" s="236"/>
      <c r="R911" s="236"/>
      <c r="S911" s="236"/>
      <c r="T911" s="236"/>
    </row>
    <row r="912" spans="2:20" s="207" customFormat="1" x14ac:dyDescent="0.25">
      <c r="B912" s="236"/>
      <c r="C912" s="236"/>
      <c r="D912" s="236"/>
      <c r="E912" s="236"/>
      <c r="F912" s="236"/>
      <c r="G912" s="236"/>
      <c r="H912" s="236"/>
      <c r="I912" s="236"/>
      <c r="J912" s="236"/>
      <c r="K912" s="236"/>
      <c r="L912" s="236"/>
      <c r="M912" s="236"/>
      <c r="N912" s="236"/>
      <c r="O912" s="236"/>
      <c r="P912" s="236"/>
      <c r="Q912" s="236"/>
      <c r="R912" s="236"/>
      <c r="S912" s="236"/>
      <c r="T912" s="236"/>
    </row>
    <row r="913" spans="2:20" s="207" customFormat="1" x14ac:dyDescent="0.25">
      <c r="B913" s="236"/>
      <c r="C913" s="236"/>
      <c r="D913" s="236"/>
      <c r="E913" s="236"/>
      <c r="F913" s="236"/>
      <c r="G913" s="236"/>
      <c r="H913" s="236"/>
      <c r="I913" s="236"/>
      <c r="J913" s="236"/>
      <c r="K913" s="236"/>
      <c r="L913" s="236"/>
      <c r="M913" s="236"/>
      <c r="N913" s="236"/>
      <c r="O913" s="236"/>
      <c r="P913" s="236"/>
      <c r="Q913" s="236"/>
      <c r="R913" s="236"/>
      <c r="S913" s="236"/>
      <c r="T913" s="236"/>
    </row>
    <row r="914" spans="2:20" s="207" customFormat="1" x14ac:dyDescent="0.25">
      <c r="B914" s="236"/>
      <c r="C914" s="236"/>
      <c r="D914" s="236"/>
      <c r="E914" s="236"/>
      <c r="F914" s="236"/>
      <c r="G914" s="236"/>
      <c r="H914" s="236"/>
      <c r="I914" s="236"/>
      <c r="J914" s="236"/>
      <c r="K914" s="236"/>
      <c r="L914" s="236"/>
      <c r="M914" s="236"/>
      <c r="N914" s="236"/>
      <c r="O914" s="236"/>
      <c r="P914" s="236"/>
      <c r="Q914" s="236"/>
      <c r="R914" s="236"/>
      <c r="S914" s="236"/>
      <c r="T914" s="236"/>
    </row>
    <row r="915" spans="2:20" s="207" customFormat="1" x14ac:dyDescent="0.25">
      <c r="B915" s="236"/>
      <c r="C915" s="236"/>
      <c r="D915" s="236"/>
      <c r="E915" s="236"/>
      <c r="F915" s="236"/>
      <c r="G915" s="236"/>
      <c r="H915" s="236"/>
      <c r="I915" s="236"/>
      <c r="J915" s="236"/>
      <c r="K915" s="236"/>
      <c r="L915" s="236"/>
      <c r="M915" s="236"/>
      <c r="N915" s="236"/>
      <c r="O915" s="236"/>
      <c r="P915" s="236"/>
      <c r="Q915" s="236"/>
      <c r="R915" s="236"/>
      <c r="S915" s="236"/>
      <c r="T915" s="236"/>
    </row>
    <row r="916" spans="2:20" s="207" customFormat="1" x14ac:dyDescent="0.25">
      <c r="B916" s="236"/>
      <c r="C916" s="236"/>
      <c r="D916" s="236"/>
      <c r="E916" s="236"/>
      <c r="F916" s="236"/>
      <c r="G916" s="236"/>
      <c r="H916" s="236"/>
      <c r="I916" s="236"/>
      <c r="J916" s="236"/>
      <c r="K916" s="236"/>
      <c r="L916" s="236"/>
      <c r="M916" s="236"/>
      <c r="N916" s="236"/>
      <c r="O916" s="236"/>
      <c r="P916" s="236"/>
      <c r="Q916" s="236"/>
      <c r="R916" s="236"/>
      <c r="S916" s="236"/>
      <c r="T916" s="236"/>
    </row>
    <row r="917" spans="2:20" s="207" customFormat="1" x14ac:dyDescent="0.25">
      <c r="B917" s="236"/>
      <c r="C917" s="236"/>
      <c r="D917" s="236"/>
      <c r="E917" s="236"/>
      <c r="F917" s="236"/>
      <c r="G917" s="236"/>
      <c r="H917" s="236"/>
      <c r="I917" s="236"/>
      <c r="J917" s="236"/>
      <c r="K917" s="236"/>
      <c r="L917" s="236"/>
      <c r="M917" s="236"/>
      <c r="N917" s="236"/>
      <c r="O917" s="236"/>
      <c r="P917" s="236"/>
      <c r="Q917" s="236"/>
      <c r="R917" s="236"/>
      <c r="S917" s="236"/>
      <c r="T917" s="236"/>
    </row>
    <row r="918" spans="2:20" s="207" customFormat="1" x14ac:dyDescent="0.25">
      <c r="B918" s="236"/>
      <c r="C918" s="236"/>
      <c r="D918" s="236"/>
      <c r="E918" s="236"/>
      <c r="F918" s="236"/>
      <c r="G918" s="236"/>
      <c r="H918" s="236"/>
      <c r="I918" s="236"/>
      <c r="J918" s="236"/>
      <c r="K918" s="236"/>
      <c r="L918" s="236"/>
      <c r="M918" s="236"/>
      <c r="N918" s="236"/>
      <c r="O918" s="236"/>
      <c r="P918" s="236"/>
      <c r="Q918" s="236"/>
      <c r="R918" s="236"/>
      <c r="S918" s="236"/>
      <c r="T918" s="236"/>
    </row>
    <row r="919" spans="2:20" s="207" customFormat="1" x14ac:dyDescent="0.25">
      <c r="B919" s="236"/>
      <c r="C919" s="236"/>
      <c r="D919" s="236"/>
      <c r="E919" s="236"/>
      <c r="F919" s="236"/>
      <c r="G919" s="236"/>
      <c r="H919" s="236"/>
      <c r="I919" s="236"/>
      <c r="J919" s="236"/>
      <c r="K919" s="236"/>
      <c r="L919" s="236"/>
      <c r="M919" s="236"/>
      <c r="N919" s="236"/>
      <c r="O919" s="236"/>
      <c r="P919" s="236"/>
      <c r="Q919" s="236"/>
      <c r="R919" s="236"/>
      <c r="S919" s="236"/>
      <c r="T919" s="236"/>
    </row>
    <row r="920" spans="2:20" s="207" customFormat="1" x14ac:dyDescent="0.25">
      <c r="B920" s="236"/>
      <c r="C920" s="236"/>
      <c r="D920" s="236"/>
      <c r="E920" s="236"/>
      <c r="F920" s="236"/>
      <c r="G920" s="236"/>
      <c r="H920" s="236"/>
      <c r="I920" s="236"/>
      <c r="J920" s="236"/>
      <c r="K920" s="236"/>
      <c r="L920" s="236"/>
      <c r="M920" s="236"/>
      <c r="N920" s="236"/>
      <c r="O920" s="236"/>
      <c r="P920" s="236"/>
      <c r="Q920" s="236"/>
      <c r="R920" s="236"/>
      <c r="S920" s="236"/>
      <c r="T920" s="236"/>
    </row>
    <row r="921" spans="2:20" s="207" customFormat="1" x14ac:dyDescent="0.25">
      <c r="B921" s="236"/>
      <c r="C921" s="236"/>
      <c r="D921" s="236"/>
      <c r="E921" s="236"/>
      <c r="F921" s="236"/>
      <c r="G921" s="236"/>
      <c r="H921" s="236"/>
      <c r="I921" s="236"/>
      <c r="J921" s="236"/>
      <c r="K921" s="236"/>
      <c r="L921" s="236"/>
      <c r="M921" s="236"/>
      <c r="N921" s="236"/>
      <c r="O921" s="236"/>
      <c r="P921" s="236"/>
      <c r="Q921" s="236"/>
      <c r="R921" s="236"/>
      <c r="S921" s="236"/>
      <c r="T921" s="236"/>
    </row>
    <row r="922" spans="2:20" s="207" customFormat="1" x14ac:dyDescent="0.25">
      <c r="B922" s="236"/>
      <c r="C922" s="236"/>
      <c r="D922" s="236"/>
      <c r="E922" s="236"/>
      <c r="F922" s="236"/>
      <c r="G922" s="236"/>
      <c r="H922" s="236"/>
      <c r="I922" s="236"/>
      <c r="J922" s="236"/>
      <c r="K922" s="236"/>
      <c r="L922" s="236"/>
      <c r="M922" s="236"/>
      <c r="N922" s="236"/>
      <c r="O922" s="236"/>
      <c r="P922" s="236"/>
      <c r="Q922" s="236"/>
      <c r="R922" s="236"/>
      <c r="S922" s="236"/>
      <c r="T922" s="236"/>
    </row>
    <row r="923" spans="2:20" s="207" customFormat="1" x14ac:dyDescent="0.25">
      <c r="B923" s="236"/>
      <c r="C923" s="236"/>
      <c r="D923" s="236"/>
      <c r="E923" s="236"/>
      <c r="F923" s="236"/>
      <c r="G923" s="236"/>
      <c r="H923" s="236"/>
      <c r="I923" s="236"/>
      <c r="J923" s="236"/>
      <c r="K923" s="236"/>
      <c r="L923" s="236"/>
      <c r="M923" s="236"/>
      <c r="N923" s="236"/>
      <c r="O923" s="236"/>
      <c r="P923" s="236"/>
      <c r="Q923" s="236"/>
      <c r="R923" s="236"/>
      <c r="S923" s="236"/>
      <c r="T923" s="236"/>
    </row>
    <row r="924" spans="2:20" s="207" customFormat="1" x14ac:dyDescent="0.25">
      <c r="B924" s="236"/>
      <c r="C924" s="236"/>
      <c r="D924" s="236"/>
      <c r="E924" s="236"/>
      <c r="F924" s="236"/>
      <c r="G924" s="236"/>
      <c r="H924" s="236"/>
      <c r="I924" s="236"/>
      <c r="J924" s="236"/>
      <c r="K924" s="236"/>
      <c r="L924" s="236"/>
      <c r="M924" s="236"/>
      <c r="N924" s="236"/>
      <c r="O924" s="236"/>
      <c r="P924" s="236"/>
      <c r="Q924" s="236"/>
      <c r="R924" s="236"/>
      <c r="S924" s="236"/>
      <c r="T924" s="236"/>
    </row>
    <row r="925" spans="2:20" s="207" customFormat="1" x14ac:dyDescent="0.25">
      <c r="B925" s="236"/>
      <c r="C925" s="236"/>
      <c r="D925" s="236"/>
      <c r="E925" s="236"/>
      <c r="F925" s="236"/>
      <c r="G925" s="236"/>
      <c r="H925" s="236"/>
      <c r="I925" s="236"/>
      <c r="J925" s="236"/>
      <c r="K925" s="236"/>
      <c r="L925" s="236"/>
      <c r="M925" s="236"/>
      <c r="N925" s="236"/>
      <c r="O925" s="236"/>
      <c r="P925" s="236"/>
      <c r="Q925" s="236"/>
      <c r="R925" s="236"/>
      <c r="S925" s="236"/>
      <c r="T925" s="236"/>
    </row>
    <row r="926" spans="2:20" s="207" customFormat="1" x14ac:dyDescent="0.25">
      <c r="B926" s="236"/>
      <c r="C926" s="236"/>
      <c r="D926" s="236"/>
      <c r="E926" s="236"/>
      <c r="F926" s="236"/>
      <c r="G926" s="236"/>
      <c r="H926" s="236"/>
      <c r="I926" s="236"/>
      <c r="J926" s="236"/>
      <c r="K926" s="236"/>
      <c r="L926" s="236"/>
      <c r="M926" s="236"/>
      <c r="N926" s="236"/>
      <c r="O926" s="236"/>
      <c r="P926" s="236"/>
      <c r="Q926" s="236"/>
      <c r="R926" s="236"/>
      <c r="S926" s="236"/>
      <c r="T926" s="236"/>
    </row>
    <row r="927" spans="2:20" s="207" customFormat="1" x14ac:dyDescent="0.25">
      <c r="B927" s="236"/>
      <c r="C927" s="236"/>
      <c r="D927" s="236"/>
      <c r="E927" s="236"/>
      <c r="F927" s="236"/>
      <c r="G927" s="236"/>
      <c r="H927" s="236"/>
      <c r="I927" s="236"/>
      <c r="J927" s="236"/>
      <c r="K927" s="236"/>
      <c r="L927" s="236"/>
      <c r="M927" s="236"/>
      <c r="N927" s="236"/>
      <c r="O927" s="236"/>
      <c r="P927" s="236"/>
      <c r="Q927" s="236"/>
      <c r="R927" s="236"/>
      <c r="S927" s="236"/>
      <c r="T927" s="236"/>
    </row>
    <row r="928" spans="2:20" s="207" customFormat="1" x14ac:dyDescent="0.25">
      <c r="B928" s="236"/>
      <c r="C928" s="236"/>
      <c r="D928" s="236"/>
      <c r="E928" s="236"/>
      <c r="F928" s="236"/>
      <c r="G928" s="236"/>
      <c r="H928" s="236"/>
      <c r="I928" s="236"/>
      <c r="J928" s="236"/>
      <c r="K928" s="236"/>
      <c r="L928" s="236"/>
      <c r="M928" s="236"/>
      <c r="N928" s="236"/>
      <c r="O928" s="236"/>
      <c r="P928" s="236"/>
      <c r="Q928" s="236"/>
      <c r="R928" s="236"/>
      <c r="S928" s="236"/>
      <c r="T928" s="236"/>
    </row>
    <row r="929" spans="2:20" s="207" customFormat="1" x14ac:dyDescent="0.25">
      <c r="B929" s="236"/>
      <c r="C929" s="236"/>
      <c r="D929" s="236"/>
      <c r="E929" s="236"/>
      <c r="F929" s="236"/>
      <c r="G929" s="236"/>
      <c r="H929" s="236"/>
      <c r="I929" s="236"/>
      <c r="J929" s="236"/>
      <c r="K929" s="236"/>
      <c r="L929" s="236"/>
      <c r="M929" s="236"/>
      <c r="N929" s="236"/>
      <c r="O929" s="236"/>
      <c r="P929" s="236"/>
      <c r="Q929" s="236"/>
      <c r="R929" s="236"/>
      <c r="S929" s="236"/>
      <c r="T929" s="236"/>
    </row>
    <row r="930" spans="2:20" s="207" customFormat="1" x14ac:dyDescent="0.25">
      <c r="B930" s="236"/>
      <c r="C930" s="236"/>
      <c r="D930" s="236"/>
      <c r="E930" s="236"/>
      <c r="F930" s="236"/>
      <c r="G930" s="236"/>
      <c r="H930" s="236"/>
      <c r="I930" s="236"/>
      <c r="J930" s="236"/>
      <c r="K930" s="236"/>
      <c r="L930" s="236"/>
      <c r="M930" s="236"/>
      <c r="N930" s="236"/>
      <c r="O930" s="236"/>
      <c r="P930" s="236"/>
      <c r="Q930" s="236"/>
      <c r="R930" s="236"/>
      <c r="S930" s="236"/>
      <c r="T930" s="236"/>
    </row>
    <row r="931" spans="2:20" s="207" customFormat="1" x14ac:dyDescent="0.25">
      <c r="B931" s="236"/>
      <c r="C931" s="236"/>
      <c r="D931" s="236"/>
      <c r="E931" s="236"/>
      <c r="F931" s="236"/>
      <c r="G931" s="236"/>
      <c r="H931" s="236"/>
      <c r="I931" s="236"/>
      <c r="J931" s="236"/>
      <c r="K931" s="236"/>
      <c r="L931" s="236"/>
      <c r="M931" s="236"/>
      <c r="N931" s="236"/>
      <c r="O931" s="236"/>
      <c r="P931" s="236"/>
      <c r="Q931" s="236"/>
      <c r="R931" s="236"/>
      <c r="S931" s="236"/>
      <c r="T931" s="236"/>
    </row>
    <row r="933" spans="2:20" s="207" customFormat="1" x14ac:dyDescent="0.25">
      <c r="B933" s="236"/>
      <c r="C933" s="236"/>
      <c r="D933" s="236"/>
      <c r="E933" s="236"/>
      <c r="F933" s="236"/>
      <c r="G933" s="236"/>
      <c r="H933" s="236"/>
      <c r="I933" s="236"/>
      <c r="J933" s="236"/>
      <c r="K933" s="236"/>
      <c r="L933" s="236"/>
      <c r="M933" s="236"/>
      <c r="N933" s="236"/>
      <c r="O933" s="236"/>
      <c r="P933" s="236"/>
      <c r="Q933" s="236"/>
      <c r="R933" s="236"/>
      <c r="S933" s="236"/>
      <c r="T933" s="236"/>
    </row>
    <row r="934" spans="2:20" s="207" customFormat="1" x14ac:dyDescent="0.25">
      <c r="B934" s="236"/>
      <c r="C934" s="236"/>
      <c r="D934" s="236"/>
      <c r="E934" s="236"/>
      <c r="F934" s="236"/>
      <c r="G934" s="236"/>
      <c r="H934" s="236"/>
      <c r="I934" s="236"/>
      <c r="J934" s="236"/>
      <c r="K934" s="236"/>
      <c r="L934" s="236"/>
      <c r="M934" s="236"/>
      <c r="N934" s="236"/>
      <c r="O934" s="236"/>
      <c r="P934" s="236"/>
      <c r="Q934" s="236"/>
      <c r="R934" s="236"/>
      <c r="S934" s="236"/>
      <c r="T934" s="236"/>
    </row>
    <row r="935" spans="2:20" s="207" customFormat="1" x14ac:dyDescent="0.25">
      <c r="B935" s="236"/>
      <c r="C935" s="380"/>
      <c r="D935" s="270"/>
      <c r="E935" s="270"/>
      <c r="F935" s="270"/>
      <c r="G935" s="270"/>
      <c r="H935" s="270" t="s">
        <v>299</v>
      </c>
      <c r="I935" s="270"/>
      <c r="J935" s="270"/>
      <c r="K935" s="270"/>
      <c r="L935" s="270"/>
      <c r="M935" s="270"/>
      <c r="N935" s="270"/>
      <c r="O935" s="236"/>
      <c r="P935" s="236"/>
      <c r="Q935" s="236"/>
      <c r="R935" s="236"/>
      <c r="S935" s="236"/>
      <c r="T935" s="236"/>
    </row>
    <row r="936" spans="2:20" s="207" customFormat="1" ht="15" customHeight="1" x14ac:dyDescent="0.25">
      <c r="B936" s="236"/>
      <c r="C936" s="380"/>
      <c r="D936" s="379" t="s">
        <v>18</v>
      </c>
      <c r="E936" s="379" t="s">
        <v>195</v>
      </c>
      <c r="F936" s="270"/>
      <c r="G936" s="270"/>
      <c r="H936" s="270" t="s">
        <v>285</v>
      </c>
      <c r="I936" s="270"/>
      <c r="J936" s="270" t="s">
        <v>287</v>
      </c>
      <c r="K936" s="270"/>
      <c r="L936" s="270"/>
      <c r="M936" s="270"/>
      <c r="N936" s="270"/>
      <c r="O936" s="236"/>
      <c r="P936" s="236"/>
      <c r="Q936" s="236"/>
      <c r="R936" s="236"/>
      <c r="S936" s="236"/>
      <c r="T936" s="236"/>
    </row>
    <row r="937" spans="2:20" s="207" customFormat="1" x14ac:dyDescent="0.25">
      <c r="B937" s="236"/>
      <c r="C937" s="380"/>
      <c r="D937" s="379"/>
      <c r="E937" s="379"/>
      <c r="F937" s="270"/>
      <c r="G937" s="270"/>
      <c r="H937" s="270" t="s">
        <v>286</v>
      </c>
      <c r="I937" s="270"/>
      <c r="J937" s="270"/>
      <c r="K937" s="270"/>
      <c r="L937" s="270"/>
      <c r="M937" s="270"/>
      <c r="N937" s="270"/>
      <c r="O937" s="236"/>
      <c r="P937" s="236"/>
      <c r="Q937" s="236"/>
      <c r="R937" s="236"/>
      <c r="S937" s="236"/>
      <c r="T937" s="236"/>
    </row>
    <row r="938" spans="2:20" s="207" customFormat="1" ht="25.5" x14ac:dyDescent="0.25">
      <c r="B938" s="236"/>
      <c r="C938" s="380"/>
      <c r="D938" s="379"/>
      <c r="E938" s="379"/>
      <c r="F938" s="258" t="s">
        <v>2</v>
      </c>
      <c r="G938" s="258" t="s">
        <v>195</v>
      </c>
      <c r="H938" s="258" t="s">
        <v>184</v>
      </c>
      <c r="I938" s="258" t="s">
        <v>21</v>
      </c>
      <c r="J938" s="258" t="s">
        <v>195</v>
      </c>
      <c r="K938" s="258" t="s">
        <v>290</v>
      </c>
      <c r="L938" s="258" t="s">
        <v>291</v>
      </c>
      <c r="M938" s="258" t="s">
        <v>292</v>
      </c>
      <c r="N938" s="258" t="s">
        <v>293</v>
      </c>
      <c r="O938" s="236"/>
      <c r="P938" s="236"/>
      <c r="Q938" s="236"/>
      <c r="R938" s="236"/>
      <c r="S938" s="236"/>
      <c r="T938" s="236"/>
    </row>
    <row r="939" spans="2:20" s="207" customFormat="1" x14ac:dyDescent="0.25">
      <c r="B939" s="236"/>
      <c r="C939" s="248" t="str">
        <f>Taules!C358</f>
        <v>TOTAL UPC</v>
      </c>
      <c r="D939" s="241">
        <f>Taules!D358</f>
        <v>341</v>
      </c>
      <c r="E939" s="241">
        <f>Taules!E358</f>
        <v>24</v>
      </c>
      <c r="F939" s="241">
        <f>Taules!F358</f>
        <v>333</v>
      </c>
      <c r="G939" s="241">
        <f>Taules!G358</f>
        <v>3.003003003003003E-3</v>
      </c>
      <c r="H939" s="243">
        <f>Taules!H358</f>
        <v>0.19519519519519518</v>
      </c>
      <c r="I939" s="243">
        <f>Taules!I358</f>
        <v>0.80180180180180183</v>
      </c>
      <c r="J939" s="243">
        <f>Taules!K358</f>
        <v>5.4995417048579283E-3</v>
      </c>
      <c r="K939" s="243">
        <f>Taules!L358</f>
        <v>8.8909257561869848E-2</v>
      </c>
      <c r="L939" s="243">
        <f>Taules!M358</f>
        <v>0.20714940421631531</v>
      </c>
      <c r="M939" s="243">
        <f>Taules!N358</f>
        <v>0.34647112740604952</v>
      </c>
      <c r="N939" s="243">
        <f>Taules!O358</f>
        <v>0.35197066911090741</v>
      </c>
      <c r="O939" s="236"/>
      <c r="P939" s="236"/>
      <c r="Q939" s="236"/>
      <c r="R939" s="236"/>
      <c r="S939" s="236"/>
      <c r="T939" s="236"/>
    </row>
    <row r="940" spans="2:20" s="207" customFormat="1" x14ac:dyDescent="0.25">
      <c r="B940" s="236"/>
      <c r="C940" s="236"/>
      <c r="D940" s="236"/>
      <c r="E940" s="236"/>
      <c r="F940" s="236"/>
      <c r="G940" s="236"/>
      <c r="H940" s="236"/>
      <c r="I940" s="236"/>
      <c r="J940" s="236"/>
      <c r="K940" s="236"/>
      <c r="L940" s="236"/>
      <c r="M940" s="236"/>
      <c r="N940" s="236"/>
      <c r="O940" s="236"/>
      <c r="P940" s="236"/>
      <c r="Q940" s="236"/>
      <c r="R940" s="236"/>
      <c r="S940" s="236"/>
      <c r="T940" s="236"/>
    </row>
    <row r="941" spans="2:20" s="207" customFormat="1" x14ac:dyDescent="0.25">
      <c r="B941" s="236"/>
      <c r="C941" s="236"/>
      <c r="D941" s="236"/>
      <c r="E941" s="236"/>
      <c r="F941" s="236"/>
      <c r="G941" s="236"/>
      <c r="H941" s="236"/>
      <c r="I941" s="236"/>
      <c r="J941" s="236"/>
      <c r="K941" s="236"/>
      <c r="L941" s="236"/>
      <c r="M941" s="236"/>
      <c r="N941" s="236"/>
      <c r="O941" s="236"/>
      <c r="P941" s="236"/>
      <c r="Q941" s="236"/>
      <c r="R941" s="236"/>
      <c r="S941" s="236"/>
      <c r="T941" s="236"/>
    </row>
    <row r="942" spans="2:20" s="207" customFormat="1" x14ac:dyDescent="0.25">
      <c r="B942" s="236"/>
      <c r="C942" s="236"/>
      <c r="D942" s="236"/>
      <c r="E942" s="236"/>
      <c r="F942" s="236"/>
      <c r="G942" s="236"/>
      <c r="H942" s="236"/>
      <c r="I942" s="236"/>
      <c r="J942" s="236"/>
      <c r="K942" s="236"/>
      <c r="L942" s="236"/>
      <c r="M942" s="236"/>
      <c r="N942" s="236"/>
      <c r="O942" s="236"/>
      <c r="P942" s="236"/>
      <c r="Q942" s="236"/>
      <c r="R942" s="236"/>
      <c r="S942" s="236"/>
      <c r="T942" s="236"/>
    </row>
    <row r="943" spans="2:20" s="207" customFormat="1" x14ac:dyDescent="0.25">
      <c r="B943" s="236"/>
      <c r="C943" s="236"/>
      <c r="D943" s="236"/>
      <c r="E943" s="236"/>
      <c r="F943" s="236"/>
      <c r="G943" s="236"/>
      <c r="H943" s="236"/>
      <c r="I943" s="236"/>
      <c r="J943" s="236"/>
      <c r="K943" s="236"/>
      <c r="L943" s="236"/>
      <c r="M943" s="236"/>
      <c r="N943" s="236"/>
      <c r="O943" s="236"/>
      <c r="P943" s="236"/>
      <c r="Q943" s="236"/>
      <c r="R943" s="236"/>
      <c r="S943" s="236"/>
      <c r="T943" s="236"/>
    </row>
    <row r="944" spans="2:20" s="207" customFormat="1" x14ac:dyDescent="0.25">
      <c r="B944" s="236"/>
      <c r="C944" s="236"/>
      <c r="D944" s="236"/>
      <c r="E944" s="236"/>
      <c r="F944" s="236"/>
      <c r="G944" s="236"/>
      <c r="H944" s="236"/>
      <c r="I944" s="236"/>
      <c r="J944" s="236"/>
      <c r="K944" s="236"/>
      <c r="L944" s="236"/>
      <c r="M944" s="236"/>
      <c r="N944" s="236"/>
      <c r="O944" s="236"/>
      <c r="P944" s="236"/>
      <c r="Q944" s="236"/>
      <c r="R944" s="236"/>
      <c r="S944" s="236"/>
      <c r="T944" s="236"/>
    </row>
    <row r="945" spans="2:20" s="207" customFormat="1" x14ac:dyDescent="0.25">
      <c r="B945" s="236"/>
      <c r="C945" s="236"/>
      <c r="D945" s="236"/>
      <c r="E945" s="236"/>
      <c r="F945" s="236"/>
      <c r="G945" s="236"/>
      <c r="H945" s="236"/>
      <c r="I945" s="236"/>
      <c r="J945" s="236"/>
      <c r="K945" s="236"/>
      <c r="L945" s="236"/>
      <c r="M945" s="236"/>
      <c r="N945" s="236"/>
      <c r="O945" s="236"/>
      <c r="P945" s="236"/>
      <c r="Q945" s="236"/>
      <c r="R945" s="236"/>
      <c r="S945" s="236"/>
      <c r="T945" s="236"/>
    </row>
    <row r="946" spans="2:20" s="207" customFormat="1" x14ac:dyDescent="0.25">
      <c r="B946" s="236"/>
      <c r="C946" s="236"/>
      <c r="D946" s="236"/>
      <c r="E946" s="236"/>
      <c r="F946" s="236"/>
      <c r="G946" s="236"/>
      <c r="H946" s="236"/>
      <c r="I946" s="236"/>
      <c r="J946" s="236"/>
      <c r="K946" s="236"/>
      <c r="L946" s="236"/>
      <c r="M946" s="236"/>
      <c r="N946" s="236"/>
      <c r="O946" s="236"/>
      <c r="P946" s="236"/>
      <c r="Q946" s="236"/>
      <c r="R946" s="236"/>
      <c r="S946" s="236"/>
      <c r="T946" s="236"/>
    </row>
    <row r="947" spans="2:20" s="207" customFormat="1" x14ac:dyDescent="0.25">
      <c r="B947" s="236"/>
      <c r="C947" s="236"/>
      <c r="D947" s="236"/>
      <c r="E947" s="236"/>
      <c r="F947" s="236"/>
      <c r="G947" s="236"/>
      <c r="H947" s="236"/>
      <c r="I947" s="236"/>
      <c r="J947" s="236"/>
      <c r="K947" s="236"/>
      <c r="L947" s="236"/>
      <c r="M947" s="236"/>
      <c r="N947" s="236"/>
      <c r="O947" s="236"/>
      <c r="P947" s="236"/>
      <c r="Q947" s="236"/>
      <c r="R947" s="236"/>
      <c r="S947" s="236"/>
      <c r="T947" s="236"/>
    </row>
    <row r="948" spans="2:20" s="207" customFormat="1" x14ac:dyDescent="0.25">
      <c r="B948" s="236"/>
      <c r="C948" s="236"/>
      <c r="D948" s="236"/>
      <c r="E948" s="236"/>
      <c r="F948" s="236"/>
      <c r="G948" s="236"/>
      <c r="H948" s="236"/>
      <c r="I948" s="236"/>
      <c r="J948" s="236"/>
      <c r="K948" s="236"/>
      <c r="L948" s="236"/>
      <c r="M948" s="236"/>
      <c r="N948" s="236"/>
      <c r="O948" s="236"/>
      <c r="P948" s="236"/>
      <c r="Q948" s="236"/>
      <c r="R948" s="236"/>
      <c r="S948" s="236"/>
      <c r="T948" s="236"/>
    </row>
    <row r="949" spans="2:20" s="207" customFormat="1" x14ac:dyDescent="0.25">
      <c r="B949" s="236"/>
      <c r="C949" s="236"/>
      <c r="D949" s="236"/>
      <c r="E949" s="236"/>
      <c r="F949" s="236"/>
      <c r="G949" s="236"/>
      <c r="H949" s="236"/>
      <c r="I949" s="236"/>
      <c r="J949" s="236"/>
      <c r="K949" s="236"/>
      <c r="L949" s="236"/>
      <c r="M949" s="236"/>
      <c r="N949" s="236"/>
      <c r="O949" s="236"/>
      <c r="P949" s="236"/>
      <c r="Q949" s="236"/>
      <c r="R949" s="236"/>
      <c r="S949" s="236"/>
      <c r="T949" s="236"/>
    </row>
    <row r="950" spans="2:20" s="207" customFormat="1" x14ac:dyDescent="0.25">
      <c r="B950" s="236"/>
      <c r="C950" s="236"/>
      <c r="D950" s="236"/>
      <c r="E950" s="236"/>
      <c r="F950" s="236"/>
      <c r="G950" s="236"/>
      <c r="H950" s="236"/>
      <c r="I950" s="236"/>
      <c r="J950" s="236"/>
      <c r="K950" s="236"/>
      <c r="L950" s="236"/>
      <c r="M950" s="236"/>
      <c r="N950" s="236"/>
      <c r="O950" s="236"/>
      <c r="P950" s="236"/>
      <c r="Q950" s="236"/>
      <c r="R950" s="236"/>
      <c r="S950" s="236"/>
      <c r="T950" s="236"/>
    </row>
    <row r="951" spans="2:20" s="207" customFormat="1" x14ac:dyDescent="0.25">
      <c r="B951" s="236"/>
      <c r="C951" s="236"/>
      <c r="D951" s="236"/>
      <c r="E951" s="236"/>
      <c r="F951" s="236"/>
      <c r="G951" s="236"/>
      <c r="H951" s="236"/>
      <c r="I951" s="236"/>
      <c r="J951" s="236"/>
      <c r="K951" s="236"/>
      <c r="L951" s="236"/>
      <c r="M951" s="236"/>
      <c r="N951" s="236"/>
      <c r="O951" s="236"/>
      <c r="P951" s="236"/>
      <c r="Q951" s="236"/>
      <c r="R951" s="236"/>
      <c r="S951" s="236"/>
      <c r="T951" s="236"/>
    </row>
    <row r="952" spans="2:20" s="207" customFormat="1" x14ac:dyDescent="0.25">
      <c r="B952" s="236"/>
      <c r="C952" s="236"/>
      <c r="D952" s="236"/>
      <c r="E952" s="236"/>
      <c r="F952" s="236"/>
      <c r="G952" s="236"/>
      <c r="H952" s="236"/>
      <c r="I952" s="236"/>
      <c r="J952" s="236"/>
      <c r="K952" s="236"/>
      <c r="L952" s="236"/>
      <c r="M952" s="236"/>
      <c r="N952" s="236"/>
      <c r="O952" s="236"/>
      <c r="P952" s="236"/>
      <c r="Q952" s="236"/>
      <c r="R952" s="236"/>
      <c r="S952" s="236"/>
      <c r="T952" s="236"/>
    </row>
    <row r="953" spans="2:20" s="207" customFormat="1" x14ac:dyDescent="0.25">
      <c r="B953" s="236"/>
      <c r="C953" s="236"/>
      <c r="D953" s="236"/>
      <c r="E953" s="236"/>
      <c r="F953" s="236"/>
      <c r="G953" s="236"/>
      <c r="H953" s="236"/>
      <c r="I953" s="236"/>
      <c r="J953" s="236"/>
      <c r="K953" s="236"/>
      <c r="L953" s="236"/>
      <c r="M953" s="236"/>
      <c r="N953" s="236"/>
      <c r="O953" s="236"/>
      <c r="P953" s="236"/>
      <c r="Q953" s="236"/>
      <c r="R953" s="236"/>
      <c r="S953" s="236"/>
      <c r="T953" s="236"/>
    </row>
    <row r="954" spans="2:20" s="207" customFormat="1" x14ac:dyDescent="0.25">
      <c r="B954" s="236"/>
      <c r="C954" s="236"/>
      <c r="D954" s="236"/>
      <c r="E954" s="236"/>
      <c r="F954" s="236"/>
      <c r="G954" s="236"/>
      <c r="H954" s="236"/>
      <c r="I954" s="236"/>
      <c r="J954" s="236"/>
      <c r="K954" s="236"/>
      <c r="L954" s="236"/>
      <c r="M954" s="236"/>
      <c r="N954" s="236"/>
      <c r="O954" s="236"/>
      <c r="P954" s="236"/>
      <c r="Q954" s="236"/>
      <c r="R954" s="236"/>
      <c r="S954" s="236"/>
      <c r="T954" s="236"/>
    </row>
    <row r="955" spans="2:20" s="207" customFormat="1" x14ac:dyDescent="0.25">
      <c r="B955" s="236"/>
      <c r="C955" s="236"/>
      <c r="D955" s="236"/>
      <c r="E955" s="236"/>
      <c r="F955" s="236"/>
      <c r="G955" s="236"/>
      <c r="H955" s="236"/>
      <c r="I955" s="236"/>
      <c r="J955" s="236"/>
      <c r="K955" s="236"/>
      <c r="L955" s="236"/>
      <c r="M955" s="236"/>
      <c r="N955" s="236"/>
      <c r="O955" s="236"/>
      <c r="P955" s="236"/>
      <c r="Q955" s="236"/>
      <c r="R955" s="236"/>
      <c r="S955" s="236"/>
      <c r="T955" s="236"/>
    </row>
    <row r="956" spans="2:20" s="207" customFormat="1" x14ac:dyDescent="0.25">
      <c r="B956" s="236"/>
      <c r="C956" s="236"/>
      <c r="D956" s="236"/>
      <c r="E956" s="236"/>
      <c r="F956" s="236"/>
      <c r="G956" s="236"/>
      <c r="H956" s="236"/>
      <c r="I956" s="236"/>
      <c r="J956" s="236"/>
      <c r="K956" s="236"/>
      <c r="L956" s="236"/>
      <c r="M956" s="236"/>
      <c r="N956" s="236"/>
      <c r="O956" s="236"/>
      <c r="P956" s="236"/>
      <c r="Q956" s="236"/>
      <c r="R956" s="236"/>
      <c r="S956" s="236"/>
      <c r="T956" s="236"/>
    </row>
    <row r="957" spans="2:20" s="207" customFormat="1" x14ac:dyDescent="0.25">
      <c r="B957" s="236"/>
      <c r="C957" s="236"/>
      <c r="D957" s="236"/>
      <c r="E957" s="236"/>
      <c r="F957" s="236"/>
      <c r="G957" s="236"/>
      <c r="H957" s="236"/>
      <c r="I957" s="236"/>
      <c r="J957" s="236"/>
      <c r="K957" s="236"/>
      <c r="L957" s="236"/>
      <c r="M957" s="236"/>
      <c r="N957" s="236"/>
      <c r="O957" s="236"/>
      <c r="P957" s="236"/>
      <c r="Q957" s="236"/>
      <c r="R957" s="236"/>
      <c r="S957" s="236"/>
      <c r="T957" s="236"/>
    </row>
    <row r="958" spans="2:20" s="207" customFormat="1" x14ac:dyDescent="0.25">
      <c r="B958" s="236"/>
      <c r="C958" s="236"/>
      <c r="D958" s="236"/>
      <c r="E958" s="236"/>
      <c r="F958" s="236"/>
      <c r="G958" s="236"/>
      <c r="H958" s="236"/>
      <c r="I958" s="236"/>
      <c r="J958" s="236"/>
      <c r="K958" s="236"/>
      <c r="L958" s="236"/>
      <c r="M958" s="236"/>
      <c r="N958" s="236"/>
      <c r="O958" s="236"/>
      <c r="P958" s="236"/>
      <c r="Q958" s="236"/>
      <c r="R958" s="236"/>
      <c r="S958" s="236"/>
      <c r="T958" s="236"/>
    </row>
  </sheetData>
  <sortState columnSort="1" ref="E396:AE397">
    <sortCondition descending="1" ref="E397:AE397"/>
  </sortState>
  <mergeCells count="46">
    <mergeCell ref="B2:T2"/>
    <mergeCell ref="C935:C938"/>
    <mergeCell ref="D936:D938"/>
    <mergeCell ref="E936:E938"/>
    <mergeCell ref="C906:C909"/>
    <mergeCell ref="D907:D909"/>
    <mergeCell ref="E907:E909"/>
    <mergeCell ref="C814:C817"/>
    <mergeCell ref="D814:H814"/>
    <mergeCell ref="D816:D817"/>
    <mergeCell ref="E816:E817"/>
    <mergeCell ref="F816:H816"/>
    <mergeCell ref="J94:O94"/>
    <mergeCell ref="C16:D16"/>
    <mergeCell ref="C17:D17"/>
    <mergeCell ref="E39:F39"/>
    <mergeCell ref="G39:H39"/>
    <mergeCell ref="D62:D63"/>
    <mergeCell ref="E62:E63"/>
    <mergeCell ref="F62:G62"/>
    <mergeCell ref="H62:I62"/>
    <mergeCell ref="J62:K62"/>
    <mergeCell ref="D121:Q121"/>
    <mergeCell ref="E149:E150"/>
    <mergeCell ref="F149:F150"/>
    <mergeCell ref="G149:H149"/>
    <mergeCell ref="I149:J149"/>
    <mergeCell ref="K149:L149"/>
    <mergeCell ref="D422:K422"/>
    <mergeCell ref="D263:E263"/>
    <mergeCell ref="D264:D267"/>
    <mergeCell ref="D295:D303"/>
    <mergeCell ref="D294:E294"/>
    <mergeCell ref="E720:L720"/>
    <mergeCell ref="D721:D722"/>
    <mergeCell ref="E721:F721"/>
    <mergeCell ref="G721:H721"/>
    <mergeCell ref="I721:J721"/>
    <mergeCell ref="K721:L721"/>
    <mergeCell ref="C782:C784"/>
    <mergeCell ref="D783:D784"/>
    <mergeCell ref="E783:I783"/>
    <mergeCell ref="J783:J784"/>
    <mergeCell ref="K783:K784"/>
    <mergeCell ref="D782:I782"/>
    <mergeCell ref="J782:K78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showGridLines="0" zoomScale="80" zoomScaleNormal="80" workbookViewId="0">
      <selection activeCell="O51" sqref="O51"/>
    </sheetView>
  </sheetViews>
  <sheetFormatPr baseColWidth="10" defaultColWidth="9.140625" defaultRowHeight="15" x14ac:dyDescent="0.25"/>
  <cols>
    <col min="2" max="2" width="4" customWidth="1"/>
  </cols>
  <sheetData>
    <row r="1" spans="1:20" s="1" customFormat="1" ht="18.75" customHeight="1" x14ac:dyDescent="0.25">
      <c r="A1" s="10"/>
    </row>
    <row r="2" spans="1:20" s="1" customFormat="1" ht="47.25" customHeight="1" x14ac:dyDescent="0.25">
      <c r="B2" s="304" t="str">
        <f>'Fitxa Tècnica'!B2:P2</f>
        <v>UNIVERSITAT POLITÈCNICA DE CATALUNYA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20" s="1" customFormat="1" ht="18.75" customHeight="1" x14ac:dyDescent="0.25">
      <c r="A3" s="10"/>
    </row>
    <row r="4" spans="1:20" s="1" customFormat="1" ht="18.75" customHeight="1" x14ac:dyDescent="0.25">
      <c r="A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20" s="1" customFormat="1" ht="33.75" customHeight="1" thickBot="1" x14ac:dyDescent="0.3">
      <c r="A5" s="10"/>
      <c r="B5" s="122" t="s">
        <v>383</v>
      </c>
      <c r="C5" s="123"/>
      <c r="D5" s="123"/>
      <c r="E5" s="124"/>
      <c r="F5" s="124"/>
      <c r="G5" s="124"/>
      <c r="H5" s="124"/>
      <c r="I5" s="122"/>
      <c r="J5" s="122"/>
      <c r="K5" s="122"/>
      <c r="L5" s="122"/>
      <c r="M5" s="122"/>
      <c r="N5" s="122"/>
    </row>
    <row r="6" spans="1:20" s="1" customFormat="1" ht="18.75" customHeight="1" x14ac:dyDescent="0.25">
      <c r="A6" s="10"/>
      <c r="C6" s="9"/>
    </row>
    <row r="7" spans="1:20" s="1" customFormat="1" ht="18.75" customHeight="1" x14ac:dyDescent="0.25">
      <c r="A7" s="10"/>
      <c r="C7" s="9"/>
    </row>
    <row r="8" spans="1:20" s="1" customFormat="1" ht="18.75" customHeight="1" x14ac:dyDescent="0.25">
      <c r="A8" s="10"/>
      <c r="C8" s="9"/>
    </row>
    <row r="9" spans="1:20" s="111" customFormat="1" ht="32.25" thickBot="1" x14ac:dyDescent="0.55000000000000004">
      <c r="A9" s="113"/>
      <c r="B9" s="118" t="s">
        <v>202</v>
      </c>
      <c r="C9" s="119"/>
      <c r="D9" s="120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17"/>
      <c r="R9" s="117"/>
      <c r="S9" s="117"/>
      <c r="T9" s="113"/>
    </row>
    <row r="13" spans="1:20" ht="21" x14ac:dyDescent="0.25">
      <c r="C13" s="81" t="s">
        <v>382</v>
      </c>
    </row>
    <row r="43" spans="2:19" x14ac:dyDescent="0.25">
      <c r="C43" s="152"/>
    </row>
    <row r="48" spans="2:19" ht="32.25" thickBot="1" x14ac:dyDescent="0.55000000000000004">
      <c r="B48" s="118" t="s">
        <v>206</v>
      </c>
      <c r="C48" s="90"/>
      <c r="D48" s="83"/>
      <c r="E48" s="83"/>
      <c r="F48" s="84"/>
      <c r="G48" s="84"/>
      <c r="H48" s="84"/>
      <c r="I48" s="121"/>
      <c r="J48" s="121"/>
      <c r="K48" s="121"/>
      <c r="L48" s="121"/>
      <c r="M48" s="121"/>
      <c r="N48" s="121"/>
      <c r="O48" s="121"/>
      <c r="P48" s="121"/>
      <c r="Q48" s="117"/>
      <c r="R48" s="117"/>
      <c r="S48" s="117"/>
    </row>
    <row r="49" spans="3:18" s="1" customFormat="1" ht="18.75" customHeight="1" x14ac:dyDescent="0.25">
      <c r="J49" s="10"/>
      <c r="K49" s="10"/>
      <c r="L49" s="10"/>
      <c r="M49" s="10"/>
      <c r="N49" s="10"/>
      <c r="O49" s="10"/>
      <c r="P49" s="10"/>
      <c r="Q49" s="10"/>
      <c r="R49" s="10"/>
    </row>
    <row r="50" spans="3:18" s="1" customFormat="1" ht="18.75" customHeight="1" x14ac:dyDescent="0.25">
      <c r="J50" s="10"/>
      <c r="K50" s="10"/>
      <c r="L50" s="10"/>
      <c r="M50" s="10"/>
      <c r="N50" s="10"/>
      <c r="O50" s="10"/>
      <c r="P50" s="10"/>
      <c r="Q50" s="10"/>
      <c r="R50" s="10"/>
    </row>
    <row r="51" spans="3:18" s="1" customFormat="1" ht="18.75" customHeight="1" x14ac:dyDescent="0.45">
      <c r="C51" s="88" t="s">
        <v>240</v>
      </c>
      <c r="D51" s="82"/>
      <c r="E51" s="82"/>
      <c r="F51" s="80"/>
      <c r="G51" s="80"/>
      <c r="H51" s="80"/>
      <c r="I51" s="80"/>
      <c r="J51" s="80"/>
      <c r="K51" s="80"/>
      <c r="L51" s="80"/>
      <c r="M51" s="80"/>
      <c r="N51" s="10"/>
      <c r="O51" s="10"/>
      <c r="P51" s="10"/>
      <c r="Q51" s="10"/>
      <c r="R51" s="10"/>
    </row>
    <row r="52" spans="3:18" s="1" customFormat="1" ht="18.75" customHeight="1" x14ac:dyDescent="0.45">
      <c r="C52" s="88"/>
      <c r="D52" s="82"/>
      <c r="E52" s="82"/>
      <c r="F52" s="80"/>
      <c r="G52" s="80"/>
      <c r="H52" s="80"/>
      <c r="I52" s="80"/>
      <c r="J52" s="80"/>
      <c r="K52" s="80"/>
      <c r="L52" s="80"/>
      <c r="M52" s="80"/>
      <c r="N52" s="10"/>
      <c r="O52" s="10"/>
      <c r="P52" s="10"/>
      <c r="Q52" s="10"/>
      <c r="R52" s="10"/>
    </row>
    <row r="53" spans="3:18" s="1" customFormat="1" ht="18.75" customHeight="1" x14ac:dyDescent="0.45">
      <c r="C53" s="88"/>
      <c r="D53" s="82"/>
      <c r="E53" s="82"/>
      <c r="F53" s="80"/>
      <c r="G53" s="80"/>
      <c r="H53" s="80"/>
      <c r="I53" s="80"/>
      <c r="J53" s="80"/>
      <c r="K53" s="80"/>
      <c r="L53" s="80"/>
      <c r="M53" s="80"/>
      <c r="N53" s="10"/>
      <c r="O53" s="10"/>
      <c r="P53" s="10"/>
      <c r="Q53" s="10"/>
      <c r="R53" s="10"/>
    </row>
    <row r="55" spans="3:18" ht="21" x14ac:dyDescent="0.25">
      <c r="C55" s="81" t="s">
        <v>327</v>
      </c>
    </row>
    <row r="86" spans="3:18" x14ac:dyDescent="0.25">
      <c r="C86" s="152"/>
    </row>
    <row r="91" spans="3:18" s="1" customFormat="1" ht="18.75" customHeight="1" x14ac:dyDescent="0.45">
      <c r="C91" s="88" t="s">
        <v>243</v>
      </c>
      <c r="D91" s="82"/>
      <c r="E91" s="82"/>
      <c r="F91" s="80"/>
      <c r="G91" s="80"/>
      <c r="H91" s="80"/>
      <c r="I91" s="80"/>
      <c r="J91" s="80"/>
      <c r="K91" s="80"/>
      <c r="L91" s="80"/>
      <c r="M91" s="80"/>
      <c r="N91" s="10"/>
      <c r="O91" s="10"/>
      <c r="P91" s="10"/>
      <c r="Q91" s="10"/>
      <c r="R91" s="10"/>
    </row>
    <row r="94" spans="3:18" ht="21" x14ac:dyDescent="0.25">
      <c r="C94" s="81" t="s">
        <v>244</v>
      </c>
    </row>
    <row r="117" spans="3:14" x14ac:dyDescent="0.25">
      <c r="N117" s="154"/>
    </row>
    <row r="128" spans="3:14" ht="21" x14ac:dyDescent="0.25">
      <c r="C128" s="81" t="s">
        <v>245</v>
      </c>
    </row>
    <row r="160" spans="3:3" x14ac:dyDescent="0.25">
      <c r="C160" s="154"/>
    </row>
    <row r="163" spans="3:3" ht="21" x14ac:dyDescent="0.25">
      <c r="C163" s="81" t="s">
        <v>250</v>
      </c>
    </row>
    <row r="164" spans="3:3" x14ac:dyDescent="0.25">
      <c r="C164" s="102" t="s">
        <v>302</v>
      </c>
    </row>
    <row r="193" spans="3:9" x14ac:dyDescent="0.25">
      <c r="C193" s="154"/>
      <c r="I193" s="144"/>
    </row>
    <row r="197" spans="3:9" ht="21" x14ac:dyDescent="0.35">
      <c r="C197" s="88" t="s">
        <v>305</v>
      </c>
    </row>
    <row r="198" spans="3:9" x14ac:dyDescent="0.25">
      <c r="C198" t="s">
        <v>328</v>
      </c>
    </row>
    <row r="231" spans="2:18" x14ac:dyDescent="0.25">
      <c r="C231" s="154"/>
    </row>
    <row r="235" spans="2:18" ht="32.25" thickBot="1" x14ac:dyDescent="0.55000000000000004">
      <c r="B235" s="89" t="s">
        <v>262</v>
      </c>
      <c r="C235" s="90"/>
      <c r="D235" s="83"/>
      <c r="E235" s="83"/>
      <c r="F235" s="84"/>
      <c r="G235" s="84"/>
      <c r="H235" s="84"/>
      <c r="I235" s="84"/>
      <c r="J235" s="84"/>
      <c r="K235" s="84"/>
      <c r="L235" s="84"/>
      <c r="M235" s="84"/>
      <c r="N235" s="80"/>
      <c r="O235" s="80"/>
      <c r="P235" s="80"/>
    </row>
    <row r="236" spans="2:18" s="1" customFormat="1" ht="18.75" customHeight="1" x14ac:dyDescent="0.25">
      <c r="C236" s="97" t="s">
        <v>263</v>
      </c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 s="1" customFormat="1" ht="18.75" customHeight="1" x14ac:dyDescent="0.25">
      <c r="C237" s="97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 s="1" customFormat="1" ht="18.75" customHeight="1" x14ac:dyDescent="0.25">
      <c r="C238" s="97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 ht="21" x14ac:dyDescent="0.25">
      <c r="C239" s="81" t="s">
        <v>329</v>
      </c>
    </row>
    <row r="270" spans="3:3" x14ac:dyDescent="0.25">
      <c r="C270" s="203" t="s">
        <v>365</v>
      </c>
    </row>
    <row r="273" spans="2:18" ht="32.25" thickBot="1" x14ac:dyDescent="0.55000000000000004">
      <c r="B273" s="89" t="s">
        <v>219</v>
      </c>
      <c r="C273" s="90"/>
      <c r="D273" s="83"/>
      <c r="E273" s="83"/>
      <c r="F273" s="84"/>
      <c r="G273" s="84"/>
      <c r="H273" s="84"/>
      <c r="I273" s="84"/>
      <c r="J273" s="84"/>
      <c r="K273" s="84"/>
      <c r="L273" s="84"/>
      <c r="M273" s="84"/>
      <c r="N273" s="80"/>
      <c r="O273" s="80"/>
      <c r="P273" s="80"/>
    </row>
    <row r="274" spans="2:18" s="1" customFormat="1" ht="18.75" customHeight="1" x14ac:dyDescent="0.25">
      <c r="C274" s="97" t="s">
        <v>263</v>
      </c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2:18" s="1" customFormat="1" ht="18.75" customHeight="1" x14ac:dyDescent="0.25">
      <c r="C275" s="97"/>
      <c r="J275" s="10"/>
      <c r="K275" s="10"/>
      <c r="L275" s="10"/>
      <c r="M275" s="10"/>
      <c r="N275" s="10"/>
      <c r="O275" s="10"/>
      <c r="P275" s="10"/>
      <c r="Q275" s="10"/>
      <c r="R275" s="10"/>
    </row>
    <row r="278" spans="2:18" ht="21" x14ac:dyDescent="0.25">
      <c r="C278" s="81" t="s">
        <v>271</v>
      </c>
    </row>
    <row r="310" spans="1:13" x14ac:dyDescent="0.25">
      <c r="C310" s="154"/>
    </row>
    <row r="315" spans="1:13" ht="21" x14ac:dyDescent="0.35">
      <c r="C315" s="213" t="s">
        <v>369</v>
      </c>
    </row>
    <row r="316" spans="1:13" ht="26.25" x14ac:dyDescent="0.4">
      <c r="A316" s="214"/>
      <c r="B316" s="215"/>
      <c r="C316" s="388" t="s">
        <v>370</v>
      </c>
      <c r="D316" s="388"/>
      <c r="E316" s="388"/>
      <c r="F316" s="388"/>
      <c r="G316" s="388"/>
      <c r="H316" s="388"/>
      <c r="I316" s="388"/>
      <c r="J316" s="388"/>
      <c r="K316" s="388"/>
      <c r="L316" s="388"/>
      <c r="M316" s="388"/>
    </row>
  </sheetData>
  <mergeCells count="2">
    <mergeCell ref="C316:M316"/>
    <mergeCell ref="B2:S2"/>
  </mergeCells>
  <hyperlinks>
    <hyperlink ref="C316" r:id="rId1" display="Inserció laboral 2011 | Informes per titulació | Ciències Experimentals"/>
    <hyperlink ref="C316:L316" r:id="rId2" display="AQU | Inserció laboral 2011 | Informes per titulació | Ciències Experimentals"/>
    <hyperlink ref="C316:M316" r:id="rId3" display="AQU | Inserció laboral 2011 | Informes per titulació | Ciències Experimentals"/>
  </hyperlinks>
  <pageMargins left="0.7" right="0.7" top="0.75" bottom="0.75" header="0.3" footer="0.3"/>
  <pageSetup paperSize="9" scale="51" orientation="landscape" r:id="rId4"/>
  <rowBreaks count="1" manualBreakCount="1">
    <brk id="200" min="1" max="19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7"/>
  <sheetViews>
    <sheetView showGridLines="0" zoomScale="80" zoomScaleNormal="80" workbookViewId="0">
      <selection activeCell="B128" sqref="B128"/>
    </sheetView>
  </sheetViews>
  <sheetFormatPr baseColWidth="10" defaultColWidth="9.140625" defaultRowHeight="15" x14ac:dyDescent="0.25"/>
  <cols>
    <col min="1" max="1" width="3.140625" customWidth="1"/>
    <col min="2" max="2" width="27.85546875" customWidth="1"/>
    <col min="4" max="4" width="10" customWidth="1"/>
    <col min="6" max="6" width="9.140625" customWidth="1"/>
  </cols>
  <sheetData>
    <row r="2" spans="1:16" s="1" customFormat="1" ht="47.25" customHeight="1" x14ac:dyDescent="0.25">
      <c r="B2" s="304" t="s">
        <v>334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s="1" customFormat="1" ht="18.75" customHeight="1" x14ac:dyDescent="0.25">
      <c r="A3" s="10"/>
    </row>
    <row r="4" spans="1:16" s="1" customFormat="1" ht="18.75" customHeight="1" x14ac:dyDescent="0.25">
      <c r="A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6" s="1" customFormat="1" ht="33.75" customHeight="1" thickBot="1" x14ac:dyDescent="0.3">
      <c r="A5" s="10"/>
      <c r="B5" s="122" t="s">
        <v>192</v>
      </c>
      <c r="C5" s="123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10" spans="1:16" ht="18.75" x14ac:dyDescent="0.3">
      <c r="B10" s="127" t="s">
        <v>316</v>
      </c>
    </row>
    <row r="11" spans="1:16" ht="18.75" x14ac:dyDescent="0.3">
      <c r="B11" s="127"/>
    </row>
    <row r="13" spans="1:16" ht="15.75" x14ac:dyDescent="0.25">
      <c r="B13" s="131" t="s">
        <v>15</v>
      </c>
      <c r="E13" s="134" t="s">
        <v>322</v>
      </c>
    </row>
    <row r="17" spans="2:13" s="147" customFormat="1" ht="15.75" customHeight="1" x14ac:dyDescent="0.25">
      <c r="B17" s="148"/>
      <c r="C17" s="402" t="str">
        <f>Taules!C26</f>
        <v>TOTAL UPC</v>
      </c>
      <c r="D17" s="403"/>
      <c r="E17" s="404"/>
    </row>
    <row r="18" spans="2:13" x14ac:dyDescent="0.25">
      <c r="B18" s="146"/>
      <c r="C18" s="130">
        <v>2005</v>
      </c>
      <c r="D18" s="130">
        <v>2008</v>
      </c>
      <c r="E18" s="130">
        <v>2011</v>
      </c>
    </row>
    <row r="19" spans="2:13" x14ac:dyDescent="0.25">
      <c r="B19" s="150" t="s">
        <v>18</v>
      </c>
      <c r="C19" s="301">
        <v>1.8099547511312219E-2</v>
      </c>
      <c r="D19" s="293">
        <v>1.2396694214876033E-2</v>
      </c>
      <c r="E19" s="129">
        <f>Taules!J26</f>
        <v>6.1486864169927333E-3</v>
      </c>
    </row>
    <row r="20" spans="2:13" x14ac:dyDescent="0.25">
      <c r="B20" s="149" t="s">
        <v>317</v>
      </c>
      <c r="C20" s="301">
        <v>5.7817998994469579E-2</v>
      </c>
      <c r="D20" s="293">
        <v>3.8370720188902009E-2</v>
      </c>
      <c r="E20" s="12">
        <f>Taules!H26</f>
        <v>0.11682504192286193</v>
      </c>
      <c r="H20" s="299"/>
      <c r="I20" s="196"/>
      <c r="J20" s="196"/>
      <c r="K20" s="294"/>
    </row>
    <row r="21" spans="2:13" x14ac:dyDescent="0.25">
      <c r="B21" s="150" t="s">
        <v>16</v>
      </c>
      <c r="C21" s="300">
        <v>0.92408245349421814</v>
      </c>
      <c r="D21" s="293">
        <v>0.94923258559622192</v>
      </c>
      <c r="E21" s="12">
        <f>Taules!F26</f>
        <v>0.87702627166014535</v>
      </c>
    </row>
    <row r="25" spans="2:13" ht="15.75" x14ac:dyDescent="0.25">
      <c r="B25" s="131" t="s">
        <v>242</v>
      </c>
      <c r="G25" s="134" t="s">
        <v>322</v>
      </c>
    </row>
    <row r="29" spans="2:13" ht="15" customHeight="1" x14ac:dyDescent="0.25">
      <c r="B29" s="167"/>
      <c r="C29" s="192">
        <v>2005</v>
      </c>
      <c r="D29" s="170">
        <v>2008</v>
      </c>
      <c r="E29" s="171">
        <v>2011</v>
      </c>
    </row>
    <row r="30" spans="2:13" ht="25.5" x14ac:dyDescent="0.25">
      <c r="B30" s="191" t="s">
        <v>28</v>
      </c>
      <c r="C30" s="301">
        <v>2.7137736815156171E-2</v>
      </c>
      <c r="D30" s="293">
        <v>2.9940119760479042E-2</v>
      </c>
      <c r="E30" s="128">
        <f>Taules!M51</f>
        <v>4.8931383577052866E-2</v>
      </c>
    </row>
    <row r="31" spans="2:13" ht="25.5" x14ac:dyDescent="0.25">
      <c r="B31" s="191" t="s">
        <v>27</v>
      </c>
      <c r="C31" s="301">
        <v>3.3794162826420893E-2</v>
      </c>
      <c r="D31" s="293">
        <v>2.9341317365269463E-2</v>
      </c>
      <c r="E31" s="128">
        <f>Taules!L51</f>
        <v>2.0809898762654669E-2</v>
      </c>
      <c r="H31" s="299"/>
      <c r="I31" s="196"/>
      <c r="J31" s="196"/>
      <c r="K31" s="196"/>
      <c r="L31" s="196"/>
      <c r="M31" s="196"/>
    </row>
    <row r="32" spans="2:13" ht="25.5" x14ac:dyDescent="0.25">
      <c r="B32" s="191" t="s">
        <v>26</v>
      </c>
      <c r="C32" s="301">
        <v>6.7588325652841785E-2</v>
      </c>
      <c r="D32" s="293">
        <v>7.6047904191616764E-2</v>
      </c>
      <c r="E32" s="128">
        <f>Taules!K51</f>
        <v>5.6805399325084362E-2</v>
      </c>
    </row>
    <row r="33" spans="2:15" x14ac:dyDescent="0.25">
      <c r="B33" s="191" t="s">
        <v>25</v>
      </c>
      <c r="C33" s="301">
        <v>0.166410650281618</v>
      </c>
      <c r="D33" s="293">
        <v>0.17664670658682635</v>
      </c>
      <c r="E33" s="128">
        <f>Taules!J51</f>
        <v>0.13779527559055119</v>
      </c>
    </row>
    <row r="34" spans="2:15" ht="25.5" x14ac:dyDescent="0.25">
      <c r="B34" s="191" t="s">
        <v>24</v>
      </c>
      <c r="C34" s="301">
        <v>0.19457245263696876</v>
      </c>
      <c r="D34" s="293">
        <v>0.18383233532934132</v>
      </c>
      <c r="E34" s="128">
        <f>Taules!I51</f>
        <v>0.17604049493813273</v>
      </c>
    </row>
    <row r="35" spans="2:15" ht="25.5" x14ac:dyDescent="0.25">
      <c r="B35" s="191" t="s">
        <v>23</v>
      </c>
      <c r="C35" s="300">
        <v>0.51049667178699432</v>
      </c>
      <c r="D35" s="293">
        <v>0.50419161676646707</v>
      </c>
      <c r="E35" s="128">
        <f>Taules!H51</f>
        <v>0.55961754780652417</v>
      </c>
    </row>
    <row r="39" spans="2:15" ht="15.75" x14ac:dyDescent="0.25">
      <c r="B39" s="131" t="s">
        <v>244</v>
      </c>
      <c r="G39" s="134" t="s">
        <v>322</v>
      </c>
    </row>
    <row r="41" spans="2:15" x14ac:dyDescent="0.25">
      <c r="B41" s="393" t="str">
        <f>C17</f>
        <v>TOTAL UPC</v>
      </c>
      <c r="C41" s="393"/>
      <c r="D41" s="393"/>
      <c r="E41" s="393"/>
      <c r="F41" s="393"/>
      <c r="G41" s="393"/>
      <c r="H41" s="393"/>
    </row>
    <row r="42" spans="2:15" ht="15" customHeight="1" x14ac:dyDescent="0.25">
      <c r="B42" s="318"/>
      <c r="C42" s="321" t="s">
        <v>53</v>
      </c>
      <c r="D42" s="321"/>
      <c r="E42" s="321" t="s">
        <v>54</v>
      </c>
      <c r="F42" s="321"/>
      <c r="G42" s="321" t="s">
        <v>55</v>
      </c>
      <c r="H42" s="321"/>
    </row>
    <row r="43" spans="2:15" ht="38.25" x14ac:dyDescent="0.25">
      <c r="B43" s="320"/>
      <c r="C43" s="72" t="s">
        <v>64</v>
      </c>
      <c r="D43" s="72" t="s">
        <v>65</v>
      </c>
      <c r="E43" s="72" t="s">
        <v>64</v>
      </c>
      <c r="F43" s="72" t="s">
        <v>65</v>
      </c>
      <c r="G43" s="72" t="s">
        <v>66</v>
      </c>
      <c r="H43" s="72" t="s">
        <v>67</v>
      </c>
    </row>
    <row r="44" spans="2:15" x14ac:dyDescent="0.25">
      <c r="B44" s="25">
        <v>2005</v>
      </c>
      <c r="C44" s="12">
        <v>0.64874551971326166</v>
      </c>
      <c r="D44" s="12">
        <v>4.7619047619047616E-2</v>
      </c>
      <c r="E44" s="12">
        <v>0.11827956989247312</v>
      </c>
      <c r="F44" s="12">
        <v>2.9697900665642603E-2</v>
      </c>
      <c r="G44" s="12">
        <v>5.2227342549923193E-2</v>
      </c>
      <c r="H44" s="12">
        <v>0.10343061955965181</v>
      </c>
    </row>
    <row r="45" spans="2:15" x14ac:dyDescent="0.25">
      <c r="B45" s="25">
        <v>2008</v>
      </c>
      <c r="C45" s="293">
        <v>0.6491332934847579</v>
      </c>
      <c r="D45" s="293">
        <v>6.3359234907352069E-2</v>
      </c>
      <c r="E45" s="293">
        <v>0.1297071129707113</v>
      </c>
      <c r="F45" s="293">
        <v>2.1518230723251645E-2</v>
      </c>
      <c r="G45" s="293">
        <v>7.9497907949790794E-2</v>
      </c>
      <c r="H45" s="293">
        <v>5.6784219964136282E-2</v>
      </c>
    </row>
    <row r="46" spans="2:15" x14ac:dyDescent="0.25">
      <c r="B46" s="25">
        <v>2011</v>
      </c>
      <c r="C46" s="12">
        <f>Taules!E77</f>
        <v>0.60517435320584922</v>
      </c>
      <c r="D46" s="12">
        <f>Taules!F77</f>
        <v>6.7491563554555684E-2</v>
      </c>
      <c r="E46" s="12">
        <f>Taules!G77</f>
        <v>0.13835770528683913</v>
      </c>
      <c r="F46" s="12">
        <f>Taules!H77</f>
        <v>3.3183352080989874E-2</v>
      </c>
      <c r="G46" s="12">
        <f>Taules!I77</f>
        <v>7.536557930258718E-2</v>
      </c>
      <c r="H46" s="12">
        <f>Taules!J77</f>
        <v>8.0427446569178856E-2</v>
      </c>
      <c r="K46" s="299">
        <v>64.823348694316437</v>
      </c>
      <c r="L46" s="196">
        <v>13.210445468509985</v>
      </c>
      <c r="M46" s="196">
        <v>19.406041986687146</v>
      </c>
      <c r="N46" s="196">
        <v>2.1505376344086025</v>
      </c>
      <c r="O46" s="196">
        <v>0.40962621607782901</v>
      </c>
    </row>
    <row r="49" spans="2:17" ht="15.75" x14ac:dyDescent="0.25">
      <c r="B49" s="131" t="s">
        <v>245</v>
      </c>
      <c r="E49" s="133" t="s">
        <v>323</v>
      </c>
    </row>
    <row r="51" spans="2:17" s="132" customFormat="1" ht="15" customHeight="1" x14ac:dyDescent="0.25">
      <c r="C51" s="399" t="s">
        <v>318</v>
      </c>
      <c r="D51" s="399"/>
      <c r="E51" s="400"/>
      <c r="F51" s="401" t="s">
        <v>319</v>
      </c>
      <c r="G51" s="399"/>
      <c r="H51" s="400"/>
      <c r="I51" s="401" t="s">
        <v>320</v>
      </c>
      <c r="J51" s="399"/>
      <c r="K51" s="400"/>
      <c r="L51" s="401" t="s">
        <v>324</v>
      </c>
      <c r="M51" s="399"/>
      <c r="N51" s="400"/>
      <c r="O51" s="401" t="s">
        <v>325</v>
      </c>
      <c r="P51" s="399"/>
      <c r="Q51" s="400"/>
    </row>
    <row r="52" spans="2:17" x14ac:dyDescent="0.25">
      <c r="B52" s="101"/>
      <c r="C52" s="107">
        <v>2005</v>
      </c>
      <c r="D52" s="217">
        <v>2008</v>
      </c>
      <c r="E52" s="107">
        <v>2011</v>
      </c>
      <c r="F52" s="107">
        <v>2005</v>
      </c>
      <c r="G52" s="107">
        <v>2008</v>
      </c>
      <c r="H52" s="107">
        <v>2011</v>
      </c>
      <c r="I52" s="107">
        <v>2005</v>
      </c>
      <c r="J52" s="107">
        <v>2008</v>
      </c>
      <c r="K52" s="107">
        <v>2011</v>
      </c>
      <c r="L52" s="107">
        <v>2005</v>
      </c>
      <c r="M52" s="107">
        <v>2008</v>
      </c>
      <c r="N52" s="107">
        <v>2011</v>
      </c>
      <c r="O52" s="107">
        <v>2005</v>
      </c>
      <c r="P52" s="107">
        <v>2008</v>
      </c>
      <c r="Q52" s="107">
        <v>2011</v>
      </c>
    </row>
    <row r="53" spans="2:17" x14ac:dyDescent="0.25">
      <c r="B53" s="25" t="str">
        <f>C17</f>
        <v>TOTAL UPC</v>
      </c>
      <c r="C53" s="299">
        <v>0.64823348694316441</v>
      </c>
      <c r="D53" s="193">
        <v>0.68439928272564254</v>
      </c>
      <c r="E53" s="12">
        <f>Taules!F84</f>
        <v>0.63442069741282336</v>
      </c>
      <c r="F53" s="196">
        <v>0.13210445468509985</v>
      </c>
      <c r="G53" s="193">
        <v>0.12193664076509265</v>
      </c>
      <c r="H53" s="12">
        <f>Taules!G84</f>
        <v>9.6737907761529809E-2</v>
      </c>
      <c r="I53" s="196">
        <v>0.19406041986687148</v>
      </c>
      <c r="J53" s="193">
        <v>0.16796174536760311</v>
      </c>
      <c r="K53" s="12">
        <f>Taules!H84</f>
        <v>0.2283464566929134</v>
      </c>
      <c r="L53" s="196">
        <v>2.1505376344086023E-2</v>
      </c>
      <c r="M53" s="193">
        <v>2.5104602510460251E-2</v>
      </c>
      <c r="N53" s="12">
        <f>Taules!I84</f>
        <v>3.5433070866141732E-2</v>
      </c>
      <c r="O53" s="196">
        <v>4.0962621607782898E-3</v>
      </c>
      <c r="P53" s="193">
        <v>5.977286312014345E-4</v>
      </c>
      <c r="Q53" s="12">
        <f>Taules!J84</f>
        <v>3.937007874015748E-3</v>
      </c>
    </row>
    <row r="54" spans="2:17" x14ac:dyDescent="0.25">
      <c r="C54">
        <f>C53/100</f>
        <v>6.4823348694316441E-3</v>
      </c>
      <c r="D54" s="206"/>
      <c r="F54">
        <f>F53/100</f>
        <v>1.3210445468509985E-3</v>
      </c>
      <c r="I54">
        <f>I53/100</f>
        <v>1.9406041986687148E-3</v>
      </c>
      <c r="L54">
        <f>L53/100</f>
        <v>2.1505376344086024E-4</v>
      </c>
      <c r="O54">
        <f>O53/100</f>
        <v>4.0962621607782898E-5</v>
      </c>
    </row>
    <row r="56" spans="2:17" ht="15" customHeight="1" x14ac:dyDescent="0.25">
      <c r="C56" s="394" t="str">
        <f>C17</f>
        <v>TOTAL UPC</v>
      </c>
      <c r="D56" s="394"/>
      <c r="E56" s="394"/>
      <c r="H56" s="394" t="str">
        <f>C17</f>
        <v>TOTAL UPC</v>
      </c>
      <c r="I56" s="394"/>
      <c r="J56" s="394"/>
      <c r="K56" s="394"/>
      <c r="L56" s="394"/>
    </row>
    <row r="57" spans="2:17" x14ac:dyDescent="0.25">
      <c r="C57" s="116">
        <v>2005</v>
      </c>
      <c r="D57" s="116">
        <v>2008</v>
      </c>
      <c r="E57" s="116">
        <v>2011</v>
      </c>
      <c r="H57" s="194">
        <v>2005</v>
      </c>
      <c r="I57" s="204"/>
      <c r="J57" s="194">
        <v>2008</v>
      </c>
      <c r="K57" s="204"/>
      <c r="L57" s="194">
        <v>2011</v>
      </c>
    </row>
    <row r="58" spans="2:17" x14ac:dyDescent="0.25">
      <c r="B58" s="116" t="s">
        <v>318</v>
      </c>
      <c r="C58" s="300">
        <v>0.64823348694316441</v>
      </c>
      <c r="D58" s="193">
        <v>0.68439928272564254</v>
      </c>
      <c r="E58" s="12">
        <f>E53</f>
        <v>0.63442069741282336</v>
      </c>
      <c r="G58" s="194" t="s">
        <v>318</v>
      </c>
      <c r="H58" s="303">
        <f>C58</f>
        <v>0.64823348694316441</v>
      </c>
      <c r="I58" s="199"/>
      <c r="J58" s="193">
        <f>D58</f>
        <v>0.68439928272564254</v>
      </c>
      <c r="K58" s="193"/>
      <c r="L58" s="12">
        <f>E58</f>
        <v>0.63442069741282336</v>
      </c>
    </row>
    <row r="59" spans="2:17" x14ac:dyDescent="0.25">
      <c r="B59" s="116" t="s">
        <v>319</v>
      </c>
      <c r="C59" s="301">
        <v>0.13210445468509985</v>
      </c>
      <c r="D59" s="193">
        <v>0.12193664076509265</v>
      </c>
      <c r="E59" s="12">
        <f>H53</f>
        <v>9.6737907761529809E-2</v>
      </c>
      <c r="G59" s="194"/>
      <c r="H59" s="303"/>
      <c r="I59" s="199"/>
      <c r="J59" s="193"/>
      <c r="K59" s="193"/>
      <c r="L59" s="12"/>
    </row>
    <row r="60" spans="2:17" ht="25.5" x14ac:dyDescent="0.25">
      <c r="B60" s="116" t="s">
        <v>320</v>
      </c>
      <c r="C60" s="301">
        <v>0.19406041986687148</v>
      </c>
      <c r="D60" s="193">
        <v>0.16796174536760311</v>
      </c>
      <c r="E60" s="12">
        <f>K53</f>
        <v>0.2283464566929134</v>
      </c>
      <c r="G60" s="194" t="s">
        <v>320</v>
      </c>
      <c r="H60" s="301">
        <f>C60</f>
        <v>0.19406041986687148</v>
      </c>
      <c r="I60" s="205"/>
      <c r="J60" s="193">
        <f>D60</f>
        <v>0.16796174536760311</v>
      </c>
      <c r="K60" s="193"/>
      <c r="L60" s="12">
        <f>E60</f>
        <v>0.2283464566929134</v>
      </c>
    </row>
    <row r="61" spans="2:17" x14ac:dyDescent="0.25">
      <c r="B61" s="115" t="s">
        <v>324</v>
      </c>
      <c r="C61" s="301">
        <v>2.1505376344086023E-2</v>
      </c>
      <c r="D61" s="193">
        <v>2.5104602510460251E-2</v>
      </c>
      <c r="E61" s="12">
        <f>N53</f>
        <v>3.5433070866141732E-2</v>
      </c>
    </row>
    <row r="62" spans="2:17" x14ac:dyDescent="0.25">
      <c r="B62" s="135" t="s">
        <v>321</v>
      </c>
      <c r="C62" s="301">
        <v>4.0962621607782898E-3</v>
      </c>
      <c r="D62" s="193">
        <v>5.977286312014345E-4</v>
      </c>
      <c r="E62" s="12">
        <f>Q53</f>
        <v>3.937007874015748E-3</v>
      </c>
    </row>
    <row r="63" spans="2:17" x14ac:dyDescent="0.25">
      <c r="I63" t="s">
        <v>366</v>
      </c>
    </row>
    <row r="65" spans="2:16" ht="15.75" x14ac:dyDescent="0.25">
      <c r="B65" s="131" t="s">
        <v>250</v>
      </c>
      <c r="E65" s="134" t="s">
        <v>322</v>
      </c>
      <c r="I65" s="318"/>
      <c r="J65" s="323" t="s">
        <v>2</v>
      </c>
      <c r="K65" s="321" t="s">
        <v>53</v>
      </c>
      <c r="L65" s="321"/>
      <c r="M65" s="321" t="s">
        <v>54</v>
      </c>
      <c r="N65" s="321"/>
      <c r="O65" s="321" t="s">
        <v>55</v>
      </c>
      <c r="P65" s="321"/>
    </row>
    <row r="66" spans="2:16" ht="38.25" x14ac:dyDescent="0.25">
      <c r="B66" s="136" t="s">
        <v>302</v>
      </c>
      <c r="I66" s="320"/>
      <c r="J66" s="325"/>
      <c r="K66" s="72" t="s">
        <v>64</v>
      </c>
      <c r="L66" s="72" t="s">
        <v>65</v>
      </c>
      <c r="M66" s="72" t="s">
        <v>64</v>
      </c>
      <c r="N66" s="72" t="s">
        <v>65</v>
      </c>
      <c r="O66" s="72" t="s">
        <v>66</v>
      </c>
      <c r="P66" s="72" t="s">
        <v>67</v>
      </c>
    </row>
    <row r="67" spans="2:16" x14ac:dyDescent="0.25">
      <c r="I67" s="25" t="str">
        <f>C17</f>
        <v>TOTAL UPC</v>
      </c>
      <c r="J67" s="11">
        <v>81</v>
      </c>
      <c r="K67" s="12">
        <f>62/J67</f>
        <v>0.76543209876543206</v>
      </c>
      <c r="L67" s="12">
        <f>5/J67</f>
        <v>6.1728395061728392E-2</v>
      </c>
      <c r="M67" s="12">
        <f>3/J67</f>
        <v>3.7037037037037035E-2</v>
      </c>
      <c r="N67" s="12">
        <f>0/J67</f>
        <v>0</v>
      </c>
      <c r="O67" s="12">
        <f>8/J67</f>
        <v>9.8765432098765427E-2</v>
      </c>
      <c r="P67" s="12">
        <f>3/J67</f>
        <v>3.7037037037037035E-2</v>
      </c>
    </row>
    <row r="69" spans="2:16" x14ac:dyDescent="0.25">
      <c r="B69" s="101"/>
      <c r="C69" s="187" t="str">
        <f>C17</f>
        <v>TOTAL UPC</v>
      </c>
      <c r="D69" s="188"/>
      <c r="E69" s="189"/>
    </row>
    <row r="70" spans="2:16" x14ac:dyDescent="0.25">
      <c r="B70" s="101"/>
      <c r="C70" s="116">
        <v>2005</v>
      </c>
      <c r="D70" s="116">
        <v>2008</v>
      </c>
      <c r="E70" s="116">
        <v>2011</v>
      </c>
    </row>
    <row r="71" spans="2:16" x14ac:dyDescent="0.25">
      <c r="B71" s="116" t="s">
        <v>195</v>
      </c>
      <c r="C71" s="106"/>
      <c r="D71" s="193"/>
      <c r="E71" s="12">
        <f>Taules!E115</f>
        <v>4.8368953880764905E-2</v>
      </c>
    </row>
    <row r="72" spans="2:16" ht="25.5" x14ac:dyDescent="0.25">
      <c r="B72" s="116" t="s">
        <v>56</v>
      </c>
      <c r="C72" s="302">
        <v>2.9185867895545316E-2</v>
      </c>
      <c r="D72" s="293">
        <v>2.0125786163522012E-2</v>
      </c>
      <c r="E72" s="12">
        <f>Taules!G115</f>
        <v>3.2058492688413945E-2</v>
      </c>
    </row>
    <row r="73" spans="2:16" ht="25.5" x14ac:dyDescent="0.25">
      <c r="B73" s="116" t="s">
        <v>57</v>
      </c>
      <c r="C73" s="302">
        <v>5.3763440860215048E-2</v>
      </c>
      <c r="D73" s="293">
        <v>1.5723270440251572E-2</v>
      </c>
      <c r="E73" s="12">
        <f>Taules!G115</f>
        <v>3.2058492688413945E-2</v>
      </c>
      <c r="I73" s="101"/>
      <c r="J73" s="187" t="str">
        <f>C17</f>
        <v>TOTAL UPC</v>
      </c>
      <c r="K73" s="188"/>
      <c r="L73" s="189"/>
    </row>
    <row r="74" spans="2:16" ht="25.5" x14ac:dyDescent="0.25">
      <c r="B74" s="116" t="s">
        <v>58</v>
      </c>
      <c r="C74" s="395">
        <v>0.180235535074245</v>
      </c>
      <c r="D74" s="293">
        <v>3.7106918238993709E-2</v>
      </c>
      <c r="E74" s="12">
        <f>Taules!H115</f>
        <v>4.4994375703037118E-2</v>
      </c>
      <c r="I74" s="101"/>
      <c r="J74" s="194">
        <v>2005</v>
      </c>
      <c r="K74" s="194">
        <v>2008</v>
      </c>
      <c r="L74" s="194">
        <v>2011</v>
      </c>
    </row>
    <row r="75" spans="2:16" ht="25.5" x14ac:dyDescent="0.25">
      <c r="B75" s="116" t="s">
        <v>59</v>
      </c>
      <c r="C75" s="396"/>
      <c r="D75" s="293">
        <v>4.5283018867924525E-2</v>
      </c>
      <c r="E75" s="12">
        <f>Taules!I115</f>
        <v>5.736782902137233E-2</v>
      </c>
      <c r="I75" s="194" t="s">
        <v>367</v>
      </c>
      <c r="J75" s="206">
        <f>SUM(C78:C79)</f>
        <v>0.26523297491039427</v>
      </c>
      <c r="K75" s="206">
        <f>SUM(D78:D79)</f>
        <v>0.38050314465408808</v>
      </c>
      <c r="L75" s="206">
        <f t="shared" ref="L75" si="0">SUM(E78:E79)</f>
        <v>0.34308211473565803</v>
      </c>
    </row>
    <row r="76" spans="2:16" ht="25.5" x14ac:dyDescent="0.25">
      <c r="B76" s="116" t="s">
        <v>60</v>
      </c>
      <c r="C76" s="395">
        <v>0.471582181259601</v>
      </c>
      <c r="D76" s="293">
        <v>0.20754716981132076</v>
      </c>
      <c r="E76" s="12">
        <f>Taules!J115</f>
        <v>0.19966254218222723</v>
      </c>
    </row>
    <row r="77" spans="2:16" ht="25.5" x14ac:dyDescent="0.25">
      <c r="B77" s="116" t="s">
        <v>61</v>
      </c>
      <c r="C77" s="396"/>
      <c r="D77" s="293">
        <v>0.29371069182389936</v>
      </c>
      <c r="E77" s="12">
        <f>Taules!K115</f>
        <v>0.24521934758155231</v>
      </c>
      <c r="I77" s="293"/>
      <c r="J77" s="293"/>
      <c r="K77" s="293"/>
      <c r="L77" s="293"/>
      <c r="M77" s="293"/>
      <c r="N77" s="293"/>
      <c r="O77" s="293"/>
      <c r="P77" s="293"/>
    </row>
    <row r="78" spans="2:16" ht="25.5" x14ac:dyDescent="0.25">
      <c r="B78" s="116" t="s">
        <v>62</v>
      </c>
      <c r="C78" s="302">
        <v>0.19457245263696876</v>
      </c>
      <c r="D78" s="293">
        <v>0.26792452830188679</v>
      </c>
      <c r="E78" s="12">
        <f>Taules!L115</f>
        <v>0.24184476940382452</v>
      </c>
    </row>
    <row r="79" spans="2:16" ht="25.5" x14ac:dyDescent="0.25">
      <c r="B79" s="116" t="s">
        <v>63</v>
      </c>
      <c r="C79" s="302">
        <v>7.0660522273425494E-2</v>
      </c>
      <c r="D79" s="293">
        <v>0.11257861635220126</v>
      </c>
      <c r="E79" s="12">
        <f>Taules!M115</f>
        <v>0.10123734533183353</v>
      </c>
    </row>
    <row r="83" spans="2:12" ht="15.75" x14ac:dyDescent="0.25">
      <c r="B83" s="131" t="s">
        <v>305</v>
      </c>
    </row>
    <row r="84" spans="2:12" ht="15.75" customHeight="1" x14ac:dyDescent="0.25"/>
    <row r="86" spans="2:12" x14ac:dyDescent="0.25">
      <c r="G86" s="295"/>
      <c r="H86" s="296"/>
      <c r="I86" s="296"/>
      <c r="J86" s="296"/>
      <c r="K86" s="296"/>
      <c r="L86" s="296"/>
    </row>
    <row r="87" spans="2:12" x14ac:dyDescent="0.25">
      <c r="C87" s="397" t="str">
        <f>C17</f>
        <v>TOTAL UPC</v>
      </c>
      <c r="D87" s="398"/>
      <c r="E87" s="398"/>
    </row>
    <row r="88" spans="2:12" x14ac:dyDescent="0.25">
      <c r="C88" s="116">
        <v>2005</v>
      </c>
      <c r="D88" s="116">
        <v>2008</v>
      </c>
      <c r="E88" s="143">
        <v>2011</v>
      </c>
      <c r="G88" s="299"/>
      <c r="H88" s="196"/>
      <c r="I88" s="196"/>
      <c r="J88" s="196"/>
      <c r="K88" s="299"/>
    </row>
    <row r="89" spans="2:12" x14ac:dyDescent="0.25">
      <c r="B89" s="137" t="s">
        <v>197</v>
      </c>
      <c r="C89" s="195">
        <v>5.4043261231281194</v>
      </c>
      <c r="D89" s="296">
        <v>5.5561904761904763</v>
      </c>
      <c r="E89" s="34">
        <f>Taules!F173</f>
        <v>5.4970297029702975</v>
      </c>
    </row>
    <row r="90" spans="2:12" x14ac:dyDescent="0.25">
      <c r="B90" s="137" t="s">
        <v>198</v>
      </c>
      <c r="C90" s="196">
        <v>4.7316936836221348</v>
      </c>
      <c r="D90" s="296">
        <v>5.0731552162849871</v>
      </c>
      <c r="E90" s="34">
        <f>Taules!J173</f>
        <v>4.6486129458388374</v>
      </c>
    </row>
    <row r="91" spans="2:12" x14ac:dyDescent="0.25">
      <c r="B91" s="137" t="s">
        <v>199</v>
      </c>
      <c r="C91" s="196">
        <v>4.5932297447280801</v>
      </c>
      <c r="D91" s="296">
        <v>4.7833545108005087</v>
      </c>
      <c r="E91" s="34">
        <f>Taules!N173</f>
        <v>4.5300330033003302</v>
      </c>
    </row>
    <row r="92" spans="2:12" x14ac:dyDescent="0.25">
      <c r="B92" s="137" t="s">
        <v>200</v>
      </c>
      <c r="C92" s="196">
        <v>4.4442595673876868</v>
      </c>
      <c r="D92" s="296">
        <v>4.5447619047619048</v>
      </c>
      <c r="E92" s="34">
        <f>Taules!R173</f>
        <v>4.6145214521452145</v>
      </c>
    </row>
    <row r="93" spans="2:12" x14ac:dyDescent="0.25">
      <c r="B93" s="137" t="s">
        <v>201</v>
      </c>
      <c r="C93" s="195">
        <v>5.2651136993899055</v>
      </c>
      <c r="D93" s="296">
        <v>5.3414330218068535</v>
      </c>
      <c r="E93" s="34">
        <f>Taules!V173</f>
        <v>5.2647058823529411</v>
      </c>
    </row>
    <row r="98" spans="2:11" ht="15.75" x14ac:dyDescent="0.25">
      <c r="B98" s="131" t="s">
        <v>264</v>
      </c>
    </row>
    <row r="99" spans="2:11" ht="15.75" x14ac:dyDescent="0.25">
      <c r="B99" s="131"/>
    </row>
    <row r="100" spans="2:11" x14ac:dyDescent="0.25">
      <c r="B100" s="142"/>
      <c r="C100" s="201" t="str">
        <f>C17</f>
        <v>TOTAL UPC</v>
      </c>
      <c r="D100" s="297"/>
      <c r="E100" s="202"/>
    </row>
    <row r="101" spans="2:11" x14ac:dyDescent="0.25">
      <c r="B101" s="151"/>
      <c r="C101" s="27">
        <v>2005</v>
      </c>
      <c r="D101" s="298">
        <v>2008</v>
      </c>
      <c r="E101" s="27">
        <v>2011</v>
      </c>
    </row>
    <row r="102" spans="2:11" ht="25.5" x14ac:dyDescent="0.25">
      <c r="B102" s="103" t="s">
        <v>146</v>
      </c>
      <c r="C102" s="300">
        <v>0.875</v>
      </c>
      <c r="D102" s="199">
        <v>0.86486486486486491</v>
      </c>
      <c r="E102" s="12">
        <f>Taules!F245</f>
        <v>0.64935064935064934</v>
      </c>
      <c r="H102" s="299">
        <v>87.5</v>
      </c>
      <c r="I102" s="196">
        <v>11.363636363636363</v>
      </c>
      <c r="J102" s="196">
        <v>0</v>
      </c>
      <c r="K102" s="196">
        <v>1.1363636363636365</v>
      </c>
    </row>
    <row r="103" spans="2:11" ht="25.5" x14ac:dyDescent="0.25">
      <c r="B103" s="103" t="s">
        <v>147</v>
      </c>
      <c r="C103" s="301">
        <v>0.11363636363636363</v>
      </c>
      <c r="D103" s="199">
        <v>5.4054054054054057E-2</v>
      </c>
      <c r="E103" s="12">
        <f>Taules!H245</f>
        <v>0.23376623376623376</v>
      </c>
    </row>
    <row r="104" spans="2:11" ht="25.5" x14ac:dyDescent="0.25">
      <c r="B104" s="103" t="s">
        <v>148</v>
      </c>
      <c r="C104" s="301">
        <v>0</v>
      </c>
      <c r="D104" s="199">
        <v>5.4054054054054057E-2</v>
      </c>
      <c r="E104" s="12">
        <f>Taules!J245</f>
        <v>9.0909090909090912E-2</v>
      </c>
    </row>
    <row r="105" spans="2:11" ht="25.5" x14ac:dyDescent="0.25">
      <c r="B105" s="138" t="s">
        <v>149</v>
      </c>
      <c r="C105" s="301">
        <v>1.1363636363636364E-2</v>
      </c>
      <c r="D105" s="199">
        <v>2.7027027027027029E-2</v>
      </c>
      <c r="E105" s="12">
        <f>Taules!L245</f>
        <v>2.5974025974025976E-2</v>
      </c>
    </row>
    <row r="106" spans="2:11" ht="15.75" x14ac:dyDescent="0.25">
      <c r="B106" s="131"/>
    </row>
    <row r="109" spans="2:11" ht="15" customHeight="1" x14ac:dyDescent="0.25">
      <c r="B109" s="131" t="s">
        <v>271</v>
      </c>
    </row>
    <row r="112" spans="2:11" x14ac:dyDescent="0.25">
      <c r="B112" s="139"/>
      <c r="C112" s="391" t="s">
        <v>196</v>
      </c>
      <c r="D112" s="392"/>
      <c r="E112" s="392"/>
      <c r="F112" s="392"/>
      <c r="G112" s="392"/>
      <c r="H112" s="392"/>
      <c r="I112" s="392"/>
      <c r="J112" s="392"/>
      <c r="K112" s="392"/>
    </row>
    <row r="113" spans="2:13" x14ac:dyDescent="0.25">
      <c r="B113" s="140"/>
      <c r="C113" s="389" t="s">
        <v>326</v>
      </c>
      <c r="D113" s="390"/>
      <c r="E113" s="390"/>
      <c r="F113" s="390"/>
      <c r="G113" s="390"/>
      <c r="H113" s="390"/>
      <c r="I113" s="390"/>
      <c r="J113" s="390"/>
      <c r="K113" s="390"/>
    </row>
    <row r="114" spans="2:13" x14ac:dyDescent="0.25">
      <c r="B114" s="140"/>
      <c r="C114" s="321">
        <v>2005</v>
      </c>
      <c r="D114" s="321"/>
      <c r="E114" s="321"/>
      <c r="F114" s="191"/>
      <c r="G114" s="197">
        <v>2008</v>
      </c>
      <c r="H114" s="200"/>
      <c r="I114" s="198"/>
      <c r="J114" s="200"/>
      <c r="K114" s="197">
        <v>2011</v>
      </c>
      <c r="L114" s="200"/>
      <c r="M114" s="198"/>
    </row>
    <row r="115" spans="2:13" ht="25.5" x14ac:dyDescent="0.25">
      <c r="B115" s="141"/>
      <c r="C115" s="116" t="s">
        <v>189</v>
      </c>
      <c r="D115" s="116" t="s">
        <v>190</v>
      </c>
      <c r="E115" s="116" t="s">
        <v>191</v>
      </c>
      <c r="F115" s="204"/>
      <c r="G115" s="116" t="s">
        <v>189</v>
      </c>
      <c r="H115" s="116" t="s">
        <v>190</v>
      </c>
      <c r="I115" s="116" t="s">
        <v>191</v>
      </c>
      <c r="J115" s="204"/>
      <c r="K115" s="116" t="s">
        <v>189</v>
      </c>
      <c r="L115" s="116" t="s">
        <v>190</v>
      </c>
      <c r="M115" s="116" t="s">
        <v>191</v>
      </c>
    </row>
    <row r="116" spans="2:13" x14ac:dyDescent="0.25">
      <c r="B116" s="27" t="str">
        <f>C17</f>
        <v>TOTAL UPC</v>
      </c>
      <c r="C116" s="301">
        <v>0.11312217194570136</v>
      </c>
      <c r="D116" s="301">
        <v>0.21518350930115637</v>
      </c>
      <c r="E116" s="301">
        <v>6.9884364002011062E-2</v>
      </c>
      <c r="F116" s="199"/>
      <c r="G116" s="293">
        <v>0.12492528392109982</v>
      </c>
      <c r="H116" s="293">
        <v>0.21099820681410639</v>
      </c>
      <c r="I116" s="293">
        <v>8.4279736999402277E-2</v>
      </c>
      <c r="J116" s="199"/>
      <c r="K116" s="12">
        <f>Taules!F320</f>
        <v>0.15129358830146231</v>
      </c>
      <c r="L116" s="12">
        <f>Taules!G320</f>
        <v>0.16254218222722161</v>
      </c>
      <c r="M116" s="12">
        <f>Taules!H320</f>
        <v>0.11754780652418448</v>
      </c>
    </row>
    <row r="120" spans="2:13" x14ac:dyDescent="0.25">
      <c r="B120" t="s">
        <v>368</v>
      </c>
    </row>
    <row r="124" spans="2:13" x14ac:dyDescent="0.25">
      <c r="B124" s="91"/>
      <c r="C124" s="168" t="s">
        <v>126</v>
      </c>
      <c r="D124" s="169"/>
      <c r="E124" s="169"/>
      <c r="F124" s="169"/>
      <c r="G124" s="169"/>
      <c r="H124" s="169"/>
      <c r="I124" s="169"/>
      <c r="J124" s="169"/>
      <c r="K124" s="169"/>
    </row>
    <row r="125" spans="2:13" x14ac:dyDescent="0.25">
      <c r="B125" s="92"/>
      <c r="C125" s="137" t="s">
        <v>131</v>
      </c>
      <c r="D125" s="145"/>
      <c r="E125" s="137" t="s">
        <v>132</v>
      </c>
      <c r="F125" s="145" t="s">
        <v>313</v>
      </c>
      <c r="G125" s="145" t="s">
        <v>342</v>
      </c>
      <c r="H125" s="145"/>
      <c r="I125" s="137" t="s">
        <v>343</v>
      </c>
      <c r="J125" s="145"/>
      <c r="K125" s="145"/>
    </row>
    <row r="126" spans="2:13" x14ac:dyDescent="0.25">
      <c r="B126" s="92"/>
      <c r="C126" s="137" t="s">
        <v>129</v>
      </c>
      <c r="D126" s="137" t="s">
        <v>130</v>
      </c>
      <c r="E126" s="137" t="s">
        <v>129</v>
      </c>
      <c r="F126" s="137" t="s">
        <v>130</v>
      </c>
      <c r="G126" s="137" t="s">
        <v>129</v>
      </c>
      <c r="H126" s="137" t="s">
        <v>130</v>
      </c>
      <c r="I126" s="137" t="s">
        <v>131</v>
      </c>
      <c r="J126" s="137" t="s">
        <v>132</v>
      </c>
      <c r="K126" s="137" t="s">
        <v>133</v>
      </c>
    </row>
    <row r="127" spans="2:13" x14ac:dyDescent="0.25">
      <c r="B127" s="25" t="str">
        <f>C17</f>
        <v>TOTAL UPC</v>
      </c>
      <c r="C127" s="34">
        <f>Gràfics!D508</f>
        <v>4.3824521934758156</v>
      </c>
      <c r="D127" s="34">
        <f>Gràfics!E508</f>
        <v>5.5112485939257594</v>
      </c>
      <c r="E127" s="34">
        <f>Gràfics!F508</f>
        <v>2.0551801801801801</v>
      </c>
      <c r="F127" s="34">
        <f>Gràfics!G508</f>
        <v>4.4955005624296964</v>
      </c>
      <c r="G127" s="34">
        <f>Gràfics!H508</f>
        <v>4.2492965672481713</v>
      </c>
      <c r="H127" s="34">
        <f>Gràfics!I508</f>
        <v>4.907709622960045</v>
      </c>
      <c r="I127" s="34">
        <f>Gràfics!J508</f>
        <v>-1.1287964004499438</v>
      </c>
      <c r="J127" s="34">
        <f>Gràfics!K508</f>
        <v>-2.4403203822495163</v>
      </c>
      <c r="K127" s="34">
        <f>Gràfics!L508</f>
        <v>-0.6584130557118737</v>
      </c>
    </row>
  </sheetData>
  <mergeCells count="25">
    <mergeCell ref="M65:N65"/>
    <mergeCell ref="O65:P65"/>
    <mergeCell ref="C87:E87"/>
    <mergeCell ref="B2:P2"/>
    <mergeCell ref="C51:E51"/>
    <mergeCell ref="F51:H51"/>
    <mergeCell ref="I51:K51"/>
    <mergeCell ref="L51:N51"/>
    <mergeCell ref="C17:E17"/>
    <mergeCell ref="O51:Q51"/>
    <mergeCell ref="C113:K113"/>
    <mergeCell ref="C112:K112"/>
    <mergeCell ref="C114:E114"/>
    <mergeCell ref="B41:H41"/>
    <mergeCell ref="B42:B43"/>
    <mergeCell ref="C42:D42"/>
    <mergeCell ref="E42:F42"/>
    <mergeCell ref="G42:H42"/>
    <mergeCell ref="H56:L56"/>
    <mergeCell ref="I65:I66"/>
    <mergeCell ref="J65:J66"/>
    <mergeCell ref="K65:L65"/>
    <mergeCell ref="C76:C77"/>
    <mergeCell ref="C56:E56"/>
    <mergeCell ref="C74:C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 Tècnica</vt:lpstr>
      <vt:lpstr>Resum</vt:lpstr>
      <vt:lpstr>Index</vt:lpstr>
      <vt:lpstr>Taules</vt:lpstr>
      <vt:lpstr>Gràfics</vt:lpstr>
      <vt:lpstr>Comparativa</vt:lpstr>
      <vt:lpstr>Taules 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2011-09-29T10:44:56Z</cp:lastPrinted>
  <dcterms:created xsi:type="dcterms:W3CDTF">2011-09-02T08:28:18Z</dcterms:created>
  <dcterms:modified xsi:type="dcterms:W3CDTF">2012-10-22T06:58:38Z</dcterms:modified>
</cp:coreProperties>
</file>